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310" activeTab="0"/>
  </bookViews>
  <sheets>
    <sheet name="Indice tavole" sheetId="1" r:id="rId1"/>
    <sheet name="Tavola 02_01" sheetId="2" r:id="rId2"/>
    <sheet name="Tavola 02_02" sheetId="3" r:id="rId3"/>
    <sheet name="Tavola 02_03" sheetId="4" r:id="rId4"/>
    <sheet name="Tavola 02_04" sheetId="5" r:id="rId5"/>
    <sheet name="Tavola 02_05" sheetId="6" r:id="rId6"/>
    <sheet name="Tavola 02_06" sheetId="7" r:id="rId7"/>
    <sheet name="Tavola 02_07" sheetId="8" r:id="rId8"/>
    <sheet name="Tavola 02_08" sheetId="9" r:id="rId9"/>
    <sheet name="Tavola 02_09 " sheetId="10" r:id="rId10"/>
    <sheet name="Tavola 02_10" sheetId="11" r:id="rId11"/>
    <sheet name="Tavola 02_11" sheetId="12" r:id="rId12"/>
    <sheet name="Tavola 02_12" sheetId="13" r:id="rId13"/>
    <sheet name="Tavola 02_13" sheetId="14" r:id="rId14"/>
    <sheet name="Tavola 02_14" sheetId="15" r:id="rId15"/>
  </sheets>
  <definedNames>
    <definedName name="_xlnm.Print_Area" localSheetId="1">'Tavola 02_01'!$A$1:$H$346</definedName>
    <definedName name="_xlnm.Print_Area" localSheetId="2">'Tavola 02_02'!$A$1:$H$274</definedName>
    <definedName name="_xlnm.Print_Area" localSheetId="3">'Tavola 02_03'!$A$1:$H$169</definedName>
    <definedName name="_xlnm.Print_Area" localSheetId="4">'Tavola 02_04'!$A$1:$H$171</definedName>
    <definedName name="_xlnm.Print_Area" localSheetId="5">'Tavola 02_05'!$A$1:$H$148</definedName>
  </definedNames>
  <calcPr fullCalcOnLoad="1"/>
</workbook>
</file>

<file path=xl/sharedStrings.xml><?xml version="1.0" encoding="utf-8"?>
<sst xmlns="http://schemas.openxmlformats.org/spreadsheetml/2006/main" count="3447" uniqueCount="491">
  <si>
    <t>Numero sezioni e orario di apertura dei nidi d'infanzia, micro-nidi e sezioni di nido aggregate a scuole dell'infanzia - servizi a gestione privata in convenzione con le Amministrazioni comunali in Provincia di Ravenna - a.s. 2005/2006</t>
  </si>
  <si>
    <t>Numero sezioni e orario di apertura dei nidi d'infanzia, micro-nidi e sezioni di nido aggregate a scuole dell'infanzia - servizi a gestione privata in Provincia di Ravenna - a.s. 2005/2006</t>
  </si>
  <si>
    <t>Numero sezioni e orario di apertura dei nidi d'infanzia, micro-nidi e sezioni di nido aggregate a scuole dell'infanzia - servizi a gestione privata in Provincia di Forlì-Cesena - a.s. 2005/2006</t>
  </si>
  <si>
    <t>Numero sezioni e orario di apertura dei nidi d'infanzia, micro-nidi e sezioni di nido aggregate a scuole dell'infanzia - servizi a gestione privata in Provincia di Rimini - a.s. 2005/2006</t>
  </si>
  <si>
    <t>Numero sezioni e orario di apertura dei nidi d'infanzia, micro-nidi e sezioni di nido aggregate a scuole dell'infanzia - servizi a gestione pubblica e privata in Provincia di Forlì-Cesena - a.s. 2005/2006</t>
  </si>
  <si>
    <t>Numero sezioni e orario di apertura dei nidi d'infanzia, micro-nidi e sezioni di nido aggregate a scuole dell'infanzia - servizi a gestione pubblica e privata in Provincia di Rimini - a.s. 2005/2006</t>
  </si>
  <si>
    <t>Sezioni part time</t>
  </si>
  <si>
    <t>sezioni a tempo pieno</t>
  </si>
  <si>
    <t>sezioni part time</t>
  </si>
  <si>
    <t>Tavola 02.11</t>
  </si>
  <si>
    <t>Numero sezioni e orario di apertura dei nidi d'infanzia, micro-nidi e sezioni di nido aggregate a scuole dell'infanzia - servizi a gestione pubblica indiretta in Provincia di Rimini - a.s. 2005/2006</t>
  </si>
  <si>
    <t>Numero sezioni e orario di apertura dei nidi d'infanzia, micro-nidi e sezioni di nido aggregate a scuole dell'infanzia - servizi a gestione privata in convenzione con le Amministrazioni comunali in Provincia di Forlì-Cesena - a.s. 2005/2006</t>
  </si>
  <si>
    <t>Numero sezioni e orario di apertura dei nidi d'infanzia, micro-nidi e sezioni di nido aggregate a scuole dell'infanzia - servizi a gestione privata in convenzione con le Amministrazioni comunali in Provincia di Rimini - a.s. 2005/2006</t>
  </si>
  <si>
    <t>Bertinoro: non indicato il numero delle giornate di apertura</t>
  </si>
  <si>
    <t>Cesena: non fornito il dato relativo alle giornate di apertura</t>
  </si>
  <si>
    <t>Tavola 02.12</t>
  </si>
  <si>
    <t>Media mesi e giornate di apertura dei nidi d'infanzia, micro-nidi e sezioni di nido aggregate a scuole dell'infanzia - servizi a gestione pubblica in Provincia di Piacenza - a.s. 2005/2006</t>
  </si>
  <si>
    <t>Media mesi e giornate di apertura dei nidi d'infanzia, micro-nidi e sezioni di nido aggregate a scuole dell'infanzia - servizi a gestione pubblica in Provincia di Parma - a.s. 2005/2006</t>
  </si>
  <si>
    <t>Media mesi e giornate di apertura dei nidi d'infanzia, micro-nidi e sezioni di nido aggregate a scuole dell'infanzia - servizi a gestione pubblica in Provincia di Reggio Emilia - a.s. 2005/2006</t>
  </si>
  <si>
    <t>Media mesi e giornate di apertura dei nidi d'infanzia, micro-nidi e sezioni di nido aggregate a scuole dell'infanzia - servizi a gestione pubblica in Provincia di Modena - a.s. 2005/2006</t>
  </si>
  <si>
    <t>Media mesi e giornate di apertura dei nidi d'infanzia, micro-nidi e sezioni di nido aggregate a scuole dell'infanzia - servizi a gestione pubblica in Provincia di Bologna - a.s. 2005/2006</t>
  </si>
  <si>
    <t>Media mesi e giornate di apertura dei nidi d'infanzia, micro-nidi e sezioni di nido aggregate a scuole dell'infanzia - servizi a gestione pubblica in Provincia di Ferrara - a.s. 2005/2006</t>
  </si>
  <si>
    <t>Media mesi e giornate di apertura dei nidi d'infanzia, micro-nidi e sezioni di nido aggregate a scuole dell'infanzia - servizi a gestione pubblica in Provincia di Ravenna - a.s. 2005/2006</t>
  </si>
  <si>
    <t>Media mesi e giornate di apertura dei nidi d'infanzia, micro-nidi e sezioni di nido aggregate a scuole dell'infanzia - servizi a gestione pubblica in Provincia di Forlì-Cesena - a.s. 2005/2006</t>
  </si>
  <si>
    <t>Media mesi e giornate di apertura dei nidi d'infanzia, micro-nidi e sezioni di nido aggregate a scuole dell'infanzia - servizi a gestione pubblica in Provincia di Rimini - a.s. 2005/2006</t>
  </si>
  <si>
    <t>I valori orari sono espressi in centesimi</t>
  </si>
  <si>
    <t>N. sezioni a tempo pieno</t>
  </si>
  <si>
    <t>N. sezioni a tempo parziale</t>
  </si>
  <si>
    <t>Titoli delle tavole contenute in ciascun foglio</t>
  </si>
  <si>
    <t>Numero sezioni e orario di apertura dei nidi d'infanzia, micro-nidi e sezioni di nido aggregate a scuole dell'infanzia - servizi a gestione pubblica indiretta in Emilia-Romagna - a.s. 2005/2006</t>
  </si>
  <si>
    <t>%
sezioni sul totale regionale</t>
  </si>
  <si>
    <t>Media mesi e giornate di apertura dei nidi d'infanzia, micro-nidi e sezioni di nido aggregate a scuole dell'infanzia - servizi a gestione pubblica indiretta in Provincia di Piacenza - a.s. 2005/2006</t>
  </si>
  <si>
    <t>Tavola 02.13</t>
  </si>
  <si>
    <t>Media mesi e giornate di apertura dei nidi d'infanzia, micro-nidi e sezioni di nido aggregate a scuole dell'infanzia - servizi a gestione pubblica indiretta in Provincia di Parma - a.s. 2005/2006</t>
  </si>
  <si>
    <t>Media mesi e giornate di apertura dei nidi d'infanzia, micro-nidi e sezioni di nido aggregate a scuole dell'infanzia - servizi a gestione pubblica indiretta in Provincia di Reggio Emilia - a.s. 2005/2006</t>
  </si>
  <si>
    <t>Media mesi e giornate di apertura dei nidi d'infanzia, micro-nidi e sezioni di nido aggregate a scuole dell'infanzia - servizi a gestione pubblica indiretta in Provincia di Modena - a.s. 2005/2006</t>
  </si>
  <si>
    <t>Media mesi e giornate di apertura dei nidi d'infanzia, micro-nidi e sezioni di nido aggregate a scuole dell'infanzia - servizi a gestione pubblica indiretta in Provincia di Bologna - a.s. 2005/2006</t>
  </si>
  <si>
    <t>Media mesi e giornate di apertura dei nidi d'infanzia, micro-nidi e sezioni di nido aggregate a scuole dell'infanzia - servizi a gestione pubblica indiretta in Provincia di Ferrara - a.s. 2005/2006</t>
  </si>
  <si>
    <t>Numero sezioni e orario di apertura dei nidi d'infanzia, micro-nidi e sezioni di nido aggregate a scuole dell'infanzia - servizi a gestione pubblica e privata in Provincia di Ferrara - a.s. 2005/2006</t>
  </si>
  <si>
    <t>Numero sezioni e orario di apertura dei nidi d'infanzia, micro-nidi e sezioni di nido aggregate a scuole dell'infanzia - servizi a gestione pubblica e privata in Provincia di Ravenna - a.s. 2005/2006</t>
  </si>
  <si>
    <t>Media mesi e giornate di apertura dei nidi d'infanzia, micro-nidi e sezioni di nido aggregate a scuole dell'infanzia - servizi a gestione pubblica indiretta in Provincia di Ravenna - a.s. 2005/2006</t>
  </si>
  <si>
    <t>Media mesi e giornate di apertura dei nidi d'infanzia, micro-nidi e sezioni di nido aggregate a scuole dell'infanzia - servizi a gestione pubblica indiretta in Provincia di Forlì - Cesena - a.s. 2005/2006</t>
  </si>
  <si>
    <t>Media mesi e giornate di apertura dei nidi d'infanzia, micro-nidi e sezioni di nido aggregate a scuole dell'infanzia - servizi a gestione pubblica indiretta in Provincia di Rimini - a.s. 2005/2006</t>
  </si>
  <si>
    <r>
      <t xml:space="preserve">Media mesi e giornate di apertura dei nidi d'infanzia, micro-nidi e sezioni di nido aggregate a scuole dell'infanzia - servizi a </t>
    </r>
    <r>
      <rPr>
        <b/>
        <u val="single"/>
        <sz val="9"/>
        <rFont val="Verdana"/>
        <family val="2"/>
      </rPr>
      <t>gestione pubblica indiretta</t>
    </r>
    <r>
      <rPr>
        <b/>
        <sz val="9"/>
        <rFont val="Verdana"/>
        <family val="2"/>
      </rPr>
      <t xml:space="preserve"> in Emilia-Romagna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</si>
  <si>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9"/>
        <rFont val="Verdana"/>
        <family val="2"/>
      </rPr>
      <t>gestione pubblica</t>
    </r>
    <r>
      <rPr>
        <b/>
        <sz val="9"/>
        <rFont val="Verdana"/>
        <family val="2"/>
      </rPr>
      <t xml:space="preserve"> in Emilia-Romagna - a.s. 2005/2006</t>
    </r>
  </si>
  <si>
    <r>
      <t xml:space="preserve">Numero sezioni e orario di apertura dei nidi d'infanzia, micro-nidi e sezioni di nido aggregate a scuole dell'infanzia - servizi a </t>
    </r>
    <r>
      <rPr>
        <b/>
        <u val="single"/>
        <sz val="9"/>
        <rFont val="Verdana"/>
        <family val="2"/>
      </rPr>
      <t>gestione privata in convenzione</t>
    </r>
    <r>
      <rPr>
        <b/>
        <sz val="9"/>
        <rFont val="Verdana"/>
        <family val="2"/>
      </rPr>
      <t xml:space="preserve"> con i Comuni in Emilia-Romagna - a.s. 2005/2006</t>
    </r>
  </si>
  <si>
    <t>Tavola 02.14</t>
  </si>
  <si>
    <t>Zocca: non fornito il dato relativo alle giornate di apertura</t>
  </si>
  <si>
    <r>
      <t xml:space="preserve">Numero sezioni e orario di apertura dei nidi d'infanzia, micro-nidi e sezioni di nido aggregate a scuole dell'infanzia - servizi a </t>
    </r>
    <r>
      <rPr>
        <b/>
        <u val="single"/>
        <sz val="9"/>
        <rFont val="Verdana"/>
        <family val="2"/>
      </rPr>
      <t>gestione privata</t>
    </r>
    <r>
      <rPr>
        <b/>
        <sz val="9"/>
        <rFont val="Verdana"/>
        <family val="2"/>
      </rPr>
      <t xml:space="preserve"> in Emilia-Romagna - a.s. 2005/2006</t>
    </r>
  </si>
  <si>
    <t>Numero sezioni e orario di apertura dei nidi d'infanzia, micro-nidi e sezioni di nido aggregate a scuole dell'infanzia - servizi a gestione pubblica e privata in Provincia di Piacenza - a.s. 2005/2006</t>
  </si>
  <si>
    <t>Numero sezioni e orario di apertura dei nidi d'infanzia, micro-nidi e sezioni di nido aggregate a scuole dell'infanzia - servizi a gestione pubblica e privata in Provincia di Parma - a.s. 2005/2006</t>
  </si>
  <si>
    <t>Pontenure: indicate sezioni a tempo pieno con orario inferiore alle 8 ore</t>
  </si>
  <si>
    <t>Rottofreno: indicate sezioni a tempo pieno con orario inferiore alle 8 ore</t>
  </si>
  <si>
    <t>Campagnola Emilia: indicate sezioni a tempo pieno con orario inferiore alle 8 ore</t>
  </si>
  <si>
    <t>Casalgrande: indicate sezioni a tempo pieno con orario inferiore alle 8 ore</t>
  </si>
  <si>
    <t>Luzzara: indicate sezioni a tempo pieno con orario inferiore alle 8 ore</t>
  </si>
  <si>
    <t>Reggiolo: indicate sezioni a tempo pieno con orario inferiore alle 8 ore</t>
  </si>
  <si>
    <t>San Martino In Rio: indicate sezioni a tempo pieno con orario inferiore alle 8 ore</t>
  </si>
  <si>
    <t>San Polo D'Enza: indicate sezioni a tempo pieno con orario inferiore alle 8 ore</t>
  </si>
  <si>
    <t>Toano: indicate sezioni a tempo pieno con orario inferiore alle 8 ore</t>
  </si>
  <si>
    <t>Guastalla: indicate sezioni a tempo pieno con orario inferiore alle 8 ore</t>
  </si>
  <si>
    <t>Risorse presenti sul territorio per l´infanzia: servizi educativi 0-3 anni (nidi d'infanzia, micro-nidi e sezioni di nido aggregate a scuole dell'infanzia)</t>
  </si>
  <si>
    <r>
      <t>2. Servizi e risorse</t>
    </r>
    <r>
      <rPr>
        <sz val="9"/>
        <color indexed="30"/>
        <rFont val="Verdana"/>
        <family val="2"/>
      </rPr>
      <t xml:space="preserve"> per l´infanzia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</si>
  <si>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 in convenzione</t>
    </r>
    <r>
      <rPr>
        <sz val="8"/>
        <rFont val="Verdana"/>
        <family val="2"/>
      </rPr>
      <t xml:space="preserve"> in provincia di Piacenza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</si>
  <si>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 in convenzione</t>
    </r>
    <r>
      <rPr>
        <sz val="8"/>
        <rFont val="Verdana"/>
        <family val="2"/>
      </rPr>
      <t xml:space="preserve"> in provincia di Parma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</si>
  <si>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 in convenzione</t>
    </r>
    <r>
      <rPr>
        <sz val="8"/>
        <rFont val="Verdana"/>
        <family val="2"/>
      </rPr>
      <t xml:space="preserve"> in provincia di Reggio Emilia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</si>
  <si>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 in convenzione</t>
    </r>
    <r>
      <rPr>
        <sz val="8"/>
        <rFont val="Verdana"/>
        <family val="2"/>
      </rPr>
      <t xml:space="preserve"> in provincia di Modena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</si>
  <si>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 in convenzione</t>
    </r>
    <r>
      <rPr>
        <sz val="8"/>
        <rFont val="Verdana"/>
        <family val="2"/>
      </rPr>
      <t xml:space="preserve"> in provincia di Bologna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</si>
  <si>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 in convenzione</t>
    </r>
    <r>
      <rPr>
        <sz val="8"/>
        <rFont val="Verdana"/>
        <family val="2"/>
      </rPr>
      <t xml:space="preserve"> in provincia di Ferrara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</si>
  <si>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 in convenzione</t>
    </r>
    <r>
      <rPr>
        <sz val="8"/>
        <rFont val="Verdana"/>
        <family val="2"/>
      </rPr>
      <t xml:space="preserve"> in provincia di Ravenna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</si>
  <si>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 in convenzione</t>
    </r>
    <r>
      <rPr>
        <sz val="8"/>
        <rFont val="Verdana"/>
        <family val="2"/>
      </rPr>
      <t xml:space="preserve"> in provincia di Forlì - Cesena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</si>
  <si>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 in convenzione</t>
    </r>
    <r>
      <rPr>
        <sz val="8"/>
        <rFont val="Verdana"/>
        <family val="2"/>
      </rPr>
      <t xml:space="preserve"> in provincia di Rimini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</si>
  <si>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Emilia-Romagna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</si>
  <si>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</t>
    </r>
    <r>
      <rPr>
        <sz val="8"/>
        <rFont val="Verdana"/>
        <family val="2"/>
      </rPr>
      <t xml:space="preserve"> in provincia di Piacenza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</si>
  <si>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</t>
    </r>
    <r>
      <rPr>
        <sz val="8"/>
        <rFont val="Verdana"/>
        <family val="2"/>
      </rPr>
      <t xml:space="preserve"> in provincia di Parma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</si>
  <si>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</t>
    </r>
    <r>
      <rPr>
        <sz val="8"/>
        <rFont val="Verdana"/>
        <family val="2"/>
      </rPr>
      <t xml:space="preserve"> in provincia di Reggio Emilia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</si>
  <si>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</t>
    </r>
    <r>
      <rPr>
        <sz val="8"/>
        <rFont val="Verdana"/>
        <family val="2"/>
      </rPr>
      <t xml:space="preserve"> in provincia di Modena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</si>
  <si>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</t>
    </r>
    <r>
      <rPr>
        <sz val="8"/>
        <rFont val="Verdana"/>
        <family val="2"/>
      </rPr>
      <t xml:space="preserve"> in provincia di Bologna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</si>
  <si>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</t>
    </r>
    <r>
      <rPr>
        <sz val="8"/>
        <rFont val="Verdana"/>
        <family val="2"/>
      </rPr>
      <t xml:space="preserve"> in provincia di Ferrara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</si>
  <si>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</t>
    </r>
    <r>
      <rPr>
        <sz val="8"/>
        <rFont val="Verdana"/>
        <family val="2"/>
      </rPr>
      <t xml:space="preserve"> in provincia di Ravenna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</si>
  <si>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</t>
    </r>
    <r>
      <rPr>
        <sz val="8"/>
        <rFont val="Verdana"/>
        <family val="2"/>
      </rPr>
      <t xml:space="preserve"> in provincia di Forlì - Cesena - a.s. 2005/2006</t>
    </r>
  </si>
  <si>
    <r>
      <t xml:space="preserve">Media mesi e giornate di apertura dei nidi d'infanzia, micro-nidi e sezioni di nido aggregate a scuole dell'infanzia - servizi a </t>
    </r>
    <r>
      <rPr>
        <u val="single"/>
        <sz val="8"/>
        <rFont val="Verdana"/>
        <family val="2"/>
      </rPr>
      <t>gestione privata</t>
    </r>
    <r>
      <rPr>
        <sz val="8"/>
        <rFont val="Verdana"/>
        <family val="2"/>
      </rPr>
      <t xml:space="preserve"> in provincia di Rimini - a.s. 2005/2006</t>
    </r>
  </si>
  <si>
    <t>Numero sezioni e orario di apertura dei nidi d'infanzia, micro-nidi e sezioni di nido aggregate a scuole dell'infanzia - servizi a gestione pubblica e privata in Provincia di Reggio Emilia - a.s. 2005/2006</t>
  </si>
  <si>
    <t>Molti servizi hanno indicato sezioni a tempo pieno con orario inferiore alle 8 ore</t>
  </si>
  <si>
    <t>Numero sezioni e orario di apertura dei nidi d'infanzia, micro-nidi e sezioni di nido aggregate a scuole dell'infanzia - servizi a gestione pubblica e privata in Provincia di Modena - a.s. 2005/2006</t>
  </si>
  <si>
    <t>Carpi: indicate sezioni a tempo pieno con orario inferiore alle 8 ore</t>
  </si>
  <si>
    <t>Concordia Sulla Secchia: indicate sezioni a tempo pieno con orario inferiore alle 8 ore</t>
  </si>
  <si>
    <t>Novi Di Modena: indicate sezioni a tempo pieno con orario inferiore alle 8 ore</t>
  </si>
  <si>
    <t>Soliera: indicate sezioni a tempo pieno con orario inferiore alle 8 ore</t>
  </si>
  <si>
    <t>Bastiglia: indicate sezioni a tempo pieno con orario inferiore alle 8 ore</t>
  </si>
  <si>
    <t>Numero sezioni e orario di apertura dei nidi d'infanzia, micro-nidi e sezioni di nido aggregate a scuole dell'infanzia - servizi a gestione pubblica e privata in Provincia di Bologna - a.s. 2005/2006</t>
  </si>
  <si>
    <t>Bentivoglio:  indicate sezioni a tempo pieno con orario inferiore alle 8 ore</t>
  </si>
  <si>
    <t>San Giorgio Di Piano: indicate sezioni a tempo pieno con orario inferiore alle 8 ore</t>
  </si>
  <si>
    <t>Castel San Pietro Terme: indicate sezioni a tempo pieno con orario inferiore alle 8 ore</t>
  </si>
  <si>
    <r>
      <t xml:space="preserve">Media mesi e giornate di apertura dei nidi d'infanzia, micro-nidi e sezioni di nido aggregate a scuole dell'infanzia - servizi a </t>
    </r>
    <r>
      <rPr>
        <b/>
        <u val="single"/>
        <sz val="9"/>
        <rFont val="Verdana"/>
        <family val="2"/>
      </rPr>
      <t>gestione privata in convenzione</t>
    </r>
    <r>
      <rPr>
        <b/>
        <sz val="9"/>
        <rFont val="Verdana"/>
        <family val="2"/>
      </rPr>
      <t xml:space="preserve"> in Emilia-Romagna - a.s. 2005/2006</t>
    </r>
  </si>
  <si>
    <t>Vergato</t>
  </si>
  <si>
    <t>Sasso Marconi</t>
  </si>
  <si>
    <t>San Pietro In Casale</t>
  </si>
  <si>
    <t>San Lazzaro Di Savena</t>
  </si>
  <si>
    <t>San Giovanni In Persiceto</t>
  </si>
  <si>
    <t>San Giorgio Di Piano</t>
  </si>
  <si>
    <t>Sala Bolognese</t>
  </si>
  <si>
    <t>Porretta Terme</t>
  </si>
  <si>
    <t>Pieve Di Cento</t>
  </si>
  <si>
    <t>Pianoro</t>
  </si>
  <si>
    <t>Ozzano Dell'Emilia</t>
  </si>
  <si>
    <t>Mordano</t>
  </si>
  <si>
    <t>Monteveglio</t>
  </si>
  <si>
    <t>Monterenzio</t>
  </si>
  <si>
    <t>Molinella</t>
  </si>
  <si>
    <t>Minerbio</t>
  </si>
  <si>
    <t>Medicina</t>
  </si>
  <si>
    <t>Malalbergo</t>
  </si>
  <si>
    <t>Grizzana Morandi</t>
  </si>
  <si>
    <t>Granarolo Dell'Emilia</t>
  </si>
  <si>
    <t>Galliera</t>
  </si>
  <si>
    <t>Dozza</t>
  </si>
  <si>
    <t>Crevalcore</t>
  </si>
  <si>
    <t>Crespellano</t>
  </si>
  <si>
    <t>Castello D'Argile</t>
  </si>
  <si>
    <t>Castel San Pietro Terme</t>
  </si>
  <si>
    <t>Castel Maggiore</t>
  </si>
  <si>
    <t>Casalecchio Di Reno</t>
  </si>
  <si>
    <t>Calderara Di Reno</t>
  </si>
  <si>
    <t>Budrio</t>
  </si>
  <si>
    <t>Borgo Tossignano</t>
  </si>
  <si>
    <t>Bentivoglio</t>
  </si>
  <si>
    <t>Bazzano</t>
  </si>
  <si>
    <t>Baricella</t>
  </si>
  <si>
    <t>Argelato</t>
  </si>
  <si>
    <t>Anzola Dell'Emilia</t>
  </si>
  <si>
    <t>Monzuno</t>
  </si>
  <si>
    <t>Monte San Pietro</t>
  </si>
  <si>
    <t>Marzabotto</t>
  </si>
  <si>
    <t>Castiglione dei Pepoli</t>
  </si>
  <si>
    <t>Casalfiumanese</t>
  </si>
  <si>
    <t>Castello Di Serravalle</t>
  </si>
  <si>
    <t>Ozzano Dell'Emilia: micro-nido aziendale Alma Mater Studiorum - Università Degli Studi Di Bologna</t>
  </si>
  <si>
    <t>Sant'Agata Sul Santerno</t>
  </si>
  <si>
    <t>Faenza</t>
  </si>
  <si>
    <t>Castel Bolognese</t>
  </si>
  <si>
    <t>Ravenna:nido aziendale Questura di Ravenna</t>
  </si>
  <si>
    <t>Brisighella</t>
  </si>
  <si>
    <t>Bagnara Di Romagna</t>
  </si>
  <si>
    <t>Savignano Sul Rubicone</t>
  </si>
  <si>
    <t>San Mauro Pascoli</t>
  </si>
  <si>
    <t>Meldola</t>
  </si>
  <si>
    <t>Gatteo</t>
  </si>
  <si>
    <t>Gambettola</t>
  </si>
  <si>
    <t>Forlimpopoli</t>
  </si>
  <si>
    <t>Forlì</t>
  </si>
  <si>
    <t>Cesenatico</t>
  </si>
  <si>
    <t>Cesena</t>
  </si>
  <si>
    <t>Castrocaro Terme e Terra Del Sole</t>
  </si>
  <si>
    <t>Portomaggiore</t>
  </si>
  <si>
    <t>Sant'Agostino</t>
  </si>
  <si>
    <t>Tresigallo</t>
  </si>
  <si>
    <t>Consorzio dei Comuni di Migliarino e Ostellato</t>
  </si>
  <si>
    <t>Modena: un nido aziendale presso il Policlinico</t>
  </si>
  <si>
    <t>Argenta</t>
  </si>
  <si>
    <t>Berra</t>
  </si>
  <si>
    <t>Bondeno</t>
  </si>
  <si>
    <t>Cento</t>
  </si>
  <si>
    <t>Codigoro</t>
  </si>
  <si>
    <t>Copparo</t>
  </si>
  <si>
    <t>Goro</t>
  </si>
  <si>
    <t>Massa Fiscaglia</t>
  </si>
  <si>
    <t>Mesola</t>
  </si>
  <si>
    <t>Migliarino</t>
  </si>
  <si>
    <t>Mirabello</t>
  </si>
  <si>
    <t>Santa Sofia</t>
  </si>
  <si>
    <t>Predappio</t>
  </si>
  <si>
    <t>Modigliana</t>
  </si>
  <si>
    <t>Longiano</t>
  </si>
  <si>
    <t>Bertinoro</t>
  </si>
  <si>
    <t>Sarsina</t>
  </si>
  <si>
    <t>Rocca San Casciano</t>
  </si>
  <si>
    <t>Montiano</t>
  </si>
  <si>
    <t>Mercato Saraceno</t>
  </si>
  <si>
    <t>Civitella di Romagna</t>
  </si>
  <si>
    <t>Sogliano Al Rubicone</t>
  </si>
  <si>
    <t>Galeata</t>
  </si>
  <si>
    <t>Provincia di Ravenna</t>
  </si>
  <si>
    <t>Provincia di Forlì - Cesena</t>
  </si>
  <si>
    <t>Provincia di Rimini</t>
  </si>
  <si>
    <t>Province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</si>
  <si>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</si>
  <si>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</si>
  <si>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</si>
  <si>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</si>
  <si>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</si>
  <si>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</si>
  <si>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Gossolengo</t>
  </si>
  <si>
    <t>Gragnano Trebbiense</t>
  </si>
  <si>
    <t>Podenzano</t>
  </si>
  <si>
    <t>Ponte Dell'Olio</t>
  </si>
  <si>
    <t>Pontenure</t>
  </si>
  <si>
    <t>Rivergaro</t>
  </si>
  <si>
    <t>Rottofreno</t>
  </si>
  <si>
    <t>Bedonia</t>
  </si>
  <si>
    <t>Borgo Val Di Taro</t>
  </si>
  <si>
    <t>Busseto</t>
  </si>
  <si>
    <t>Collecchio</t>
  </si>
  <si>
    <t>Colorno</t>
  </si>
  <si>
    <t>Felino</t>
  </si>
  <si>
    <t>Fidenza</t>
  </si>
  <si>
    <t>Fontevivo</t>
  </si>
  <si>
    <t>Fornovo Di Taro</t>
  </si>
  <si>
    <t>Langhirano</t>
  </si>
  <si>
    <t>Lesignano De' Bagni</t>
  </si>
  <si>
    <t>Montechiarugolo</t>
  </si>
  <si>
    <t>Noceto</t>
  </si>
  <si>
    <t>Salsomaggiore Terme</t>
  </si>
  <si>
    <t>Sissa</t>
  </si>
  <si>
    <t>Sorbolo</t>
  </si>
  <si>
    <t>Torrile</t>
  </si>
  <si>
    <t>Traversetolo</t>
  </si>
  <si>
    <t>Albinea</t>
  </si>
  <si>
    <t>Bagnolo In Piano</t>
  </si>
  <si>
    <t>Bibbiano</t>
  </si>
  <si>
    <t>Brescello</t>
  </si>
  <si>
    <t>Cadelbosco Di Sopra</t>
  </si>
  <si>
    <t>Campagnola Emilia</t>
  </si>
  <si>
    <t>Provincia di Reggio Emilia</t>
  </si>
  <si>
    <t>Provincia di Modena</t>
  </si>
  <si>
    <t>Provincia di Bologna</t>
  </si>
  <si>
    <t>Provincia di Ferrara</t>
  </si>
  <si>
    <t>Comacchio</t>
  </si>
  <si>
    <t>Formignana</t>
  </si>
  <si>
    <t>Poggio Renatico</t>
  </si>
  <si>
    <t>Ro</t>
  </si>
  <si>
    <t>Riolo Terme</t>
  </si>
  <si>
    <t>Massa Lombarda</t>
  </si>
  <si>
    <t>Lugo</t>
  </si>
  <si>
    <t>Fusignano</t>
  </si>
  <si>
    <t>Cotignola</t>
  </si>
  <si>
    <t>Conselice</t>
  </si>
  <si>
    <t>Casola Valsenio</t>
  </si>
  <si>
    <t>Solarolo</t>
  </si>
  <si>
    <t>San Giorgio Piacentino</t>
  </si>
  <si>
    <t>Calendasco</t>
  </si>
  <si>
    <t>Zola Predosa</t>
  </si>
  <si>
    <t>Sant'Agata Bolognese</t>
  </si>
  <si>
    <t>Varano De' Melegari</t>
  </si>
  <si>
    <t>Castelnovo Di Sotto: un nido a titolarità comunale e gestione IPAB</t>
  </si>
  <si>
    <t>Brescello: accoglie anche i bambini del comprensorio di Boretto</t>
  </si>
  <si>
    <t>San Polo D'Enza</t>
  </si>
  <si>
    <t>Casina</t>
  </si>
  <si>
    <t>Zocca</t>
  </si>
  <si>
    <t>Provincia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</si>
  <si>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</si>
  <si>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</si>
  <si>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</si>
  <si>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</si>
  <si>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</si>
  <si>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</si>
  <si>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</si>
  <si>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</si>
  <si>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</si>
  <si>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</si>
  <si>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Numero servizi</t>
  </si>
  <si>
    <t>Totale servizi</t>
  </si>
  <si>
    <t>% sul totale servizi</t>
  </si>
  <si>
    <t>N. posti</t>
  </si>
  <si>
    <t>% sul totale posti</t>
  </si>
  <si>
    <t>Nidi</t>
  </si>
  <si>
    <t>Sezioni aggregate
*</t>
  </si>
  <si>
    <t>Micro-nidi</t>
  </si>
  <si>
    <t>* Sezioni di nido aggregate a scuola dell'infanzia</t>
  </si>
  <si>
    <t>Comuni</t>
  </si>
  <si>
    <t>Provincia Piacenza</t>
  </si>
  <si>
    <t>Provincia di Parma</t>
  </si>
  <si>
    <t>Fonte: Software regionale di immissione dati da parte dei Comuni sede di nidi - Regione Emilia-Romagna. Elaborazione: Servizio Politiche Familiari, Infanzia e Adolescenza della Regione Emilia-Romagna</t>
  </si>
  <si>
    <t>Langhirano e Traversetolo: gestione IPAB</t>
  </si>
  <si>
    <t>Unione di Comuni: Sorbolo e Mezzani</t>
  </si>
  <si>
    <t>Langhirano e Traversetolo: 2 servizi a gestione I.P.A.B.</t>
  </si>
  <si>
    <t>Montescudo: gestione IPAB</t>
  </si>
  <si>
    <t>Campegine</t>
  </si>
  <si>
    <t>Canossa</t>
  </si>
  <si>
    <t>Casalgrande</t>
  </si>
  <si>
    <t>Castellarano</t>
  </si>
  <si>
    <t>Castelnovo Di Sotto</t>
  </si>
  <si>
    <t>Castelnovo Ne' Monti</t>
  </si>
  <si>
    <t>Cavriago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</si>
  <si>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</si>
  <si>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</si>
  <si>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</si>
  <si>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</si>
  <si>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</si>
  <si>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</si>
  <si>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</si>
  <si>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</si>
  <si>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</si>
  <si>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</si>
  <si>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 Nell'Emilia</t>
  </si>
  <si>
    <t>Reggiolo</t>
  </si>
  <si>
    <t>Rio Saliceto</t>
  </si>
  <si>
    <t>Rolo</t>
  </si>
  <si>
    <t>Rubiera</t>
  </si>
  <si>
    <t>San Martino In Rio</t>
  </si>
  <si>
    <t>Sant'Ilario D'Enza</t>
  </si>
  <si>
    <t>Scandiano</t>
  </si>
  <si>
    <t>Toano</t>
  </si>
  <si>
    <t>Vezzano Sul Crostolo</t>
  </si>
  <si>
    <t>Bastiglia</t>
  </si>
  <si>
    <t>Bomporto</t>
  </si>
  <si>
    <t>Campogalliano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</si>
  <si>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</si>
  <si>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</si>
  <si>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</si>
  <si>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</si>
  <si>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</si>
  <si>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</si>
  <si>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Finale Emilia</t>
  </si>
  <si>
    <t>Fiorano Modenese</t>
  </si>
  <si>
    <t>Formigine</t>
  </si>
  <si>
    <t>Frassinoro</t>
  </si>
  <si>
    <t>Guiglia</t>
  </si>
  <si>
    <t>Maranello</t>
  </si>
  <si>
    <t>Marano Sul Panaro</t>
  </si>
  <si>
    <t>Medolla</t>
  </si>
  <si>
    <t>Mirandola</t>
  </si>
  <si>
    <t>Nonantola</t>
  </si>
  <si>
    <t>Novi Di Modena</t>
  </si>
  <si>
    <t>Pavullo Nel Frignano</t>
  </si>
  <si>
    <t>Ravarino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</si>
  <si>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</si>
  <si>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</si>
  <si>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</si>
  <si>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</si>
  <si>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</si>
  <si>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</si>
  <si>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Soliera</t>
  </si>
  <si>
    <t>Spilamberto</t>
  </si>
  <si>
    <t>Vignola</t>
  </si>
  <si>
    <t>Castenaso</t>
  </si>
  <si>
    <t>Imola</t>
  </si>
  <si>
    <t>Alfonsine</t>
  </si>
  <si>
    <t>Bagnacavallo</t>
  </si>
  <si>
    <t>Cervia</t>
  </si>
  <si>
    <t>Russi</t>
  </si>
  <si>
    <t>Bagno Di Romagna</t>
  </si>
  <si>
    <t>Bellaria-Igea Marina</t>
  </si>
  <si>
    <t>Cattolica</t>
  </si>
  <si>
    <t>Coriano</t>
  </si>
  <si>
    <t>Misano Adriatico</t>
  </si>
  <si>
    <t>Montescudo</t>
  </si>
  <si>
    <t>Morciano Di Romagna</t>
  </si>
  <si>
    <t>Riccione</t>
  </si>
  <si>
    <t>San Giovanni In Marignano</t>
  </si>
  <si>
    <t>Santarcangelo Di Romagna</t>
  </si>
  <si>
    <t>Verucchio</t>
  </si>
  <si>
    <t>Poggio Berni</t>
  </si>
  <si>
    <t>Numero nidi d'infanzia, micro-nidi e sezioni di nido aggregate a scuole dell'infanzia e posti - servizi a gestione privata per provincia e per comune - a.s. 2005/2006</t>
  </si>
  <si>
    <t>Numero nidi d'infanzia, micro-nidi e sezioni di nido aggregate a scuole dell'infanzia e n. posti - a gestione indiretta comunale in Provincia di Ravenna - a.s. 2005/2006</t>
  </si>
  <si>
    <t>Loiano</t>
  </si>
  <si>
    <t>Numero nidi d'infanzia, micro-nidi e sezioni di nido aggregate a scuole dell'infanzia e n. posti - a gestione indiretta comunale in Provincia di Bologna - a.s. 2005/2006</t>
  </si>
  <si>
    <t>Numero nidi d'infanzia, micro-nidi e sezioni di nido aggregate a scuole dell'infanzia e n. posti - servizi convenzionati con i Comuni in Provincia di Ravenna - a.s. 2005/2006</t>
  </si>
  <si>
    <t>Numero nidi d'infanzia, micro-nidi e sezioni di nido aggregate a scuole dell'infanzia e n. posti - servizi convenzionati con i Comuni in Provincia di Bologna - a.s. 2005/2006</t>
  </si>
  <si>
    <t>Numero di nidi d'infanzia, micro-nidi e sezioni di nido aggregate a scuole dell'infanzia e numero di posti - servizi convenzionati con i Comuni suddivisi per provincia e per comune - a.s. 2005/2006</t>
  </si>
  <si>
    <t>Numero di nidi d'infanzia, micro-nidi e sezioni di nido aggregate a scuole dell'infanzia e numero di posti - servizi a gestione privata in Provincia di Ravenna - a.s. 2005/2006</t>
  </si>
  <si>
    <t>Numero di nidi d'infanzia, micro-nidi e sezioni di nido aggregate a scuole dell'infanzia e numero di posti - servizi a gestione privata in Provincia di Bologna - a.s. 2005/2006</t>
  </si>
  <si>
    <t>Numero nidi d'infanzia, micro-nidi e sezioni di nido aggregate a scuole dell'infanzia e n. posti - a gestione indiretta comunale in Provincia di Piacenza - a.s. 2005/2006</t>
  </si>
  <si>
    <t>Lugagnano Val D'Arda</t>
  </si>
  <si>
    <t>Numero di nidi d'infanzia, micro-nidi e sezioni di nido aggregate a scuole dell'infanzia e numero di posti - servizi a gestione indiretta pubblica per provincia e per comune - a.s. 2005/2006</t>
  </si>
  <si>
    <t>Besenzone</t>
  </si>
  <si>
    <t>Numero di nidi d'infanzia, micro-nidi e sezioni di nido aggregate a scuole dell'infanzia e numero di posti - servizi a gestione privata in Provincia di Piacenza - a.s. 2005/2006</t>
  </si>
  <si>
    <t>Numero di nidi d'infanzia, micro-nidi e sezioni di nido aggregate a scuole dell'infanzia e numero di posti - servizi a gestione privata in Provincia di Parma - a.s. 2005/2006</t>
  </si>
  <si>
    <t>Numero nidi d'infanzia, micro-nidi e sezioni di nido aggregate a scuole dell'infanzia e n. posti - a gestione indiretta comunale in Provincia di Parma - a.s. 2005/2006</t>
  </si>
  <si>
    <t>Numero nidi d'infanzia, micro-nidi e sezioni di nido aggregate a scuole dell'infanzia e n. posti - servizi convenzionati con i Comuni in Provincia di Piacenza - a.s. 2005/2006</t>
  </si>
  <si>
    <t>Numero nidi d'infanzia, micro-nidi e sezioni di nido aggregate a scuole dell'infanzia e n. posti - servizi convenzionati con i Comuni in Provincia di Parma - a.s. 2005/2006</t>
  </si>
  <si>
    <t>Mezzani</t>
  </si>
  <si>
    <t>Numero nidi d'infanzia, micro-nidi e sezioni di nido aggregate a scuole dell'infanzia e n. posti - servizi comunali in Provincia di Piacenza - a.s. 2005/2006</t>
  </si>
  <si>
    <t>Numero nidi d'infanzia, micro-nidi e sezioni di nido aggregate a scuole dell'infanzia e n. posti - servizi comunali e pubblici in Provincia di Parma - a.s. 2005/2006</t>
  </si>
  <si>
    <t>Neviano Degli Arduini</t>
  </si>
  <si>
    <t>Numero di nidi d'infanzia, micro-nidi e sezioni di nido aggregate a scuole dell'infanzia e numero di posti (capienza strutturale del servizio) - servizi comunali e pubblici per provincia e per comune - a.s. 2005/2006</t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</si>
  <si>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Rimini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</si>
  <si>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Ravenna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</si>
  <si>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Forlì - Cesena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</si>
  <si>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Ferrara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</si>
  <si>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Bologna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</si>
  <si>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Modena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</si>
  <si>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Reggio Emilia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</si>
  <si>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Parma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</si>
  <si>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provincia di Piacenza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</si>
  <si>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 in convenzione</t>
    </r>
    <r>
      <rPr>
        <b/>
        <sz val="8"/>
        <rFont val="Verdana"/>
        <family val="2"/>
      </rPr>
      <t xml:space="preserve"> in provincia di Piacenza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</si>
  <si>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 in convenzione</t>
    </r>
    <r>
      <rPr>
        <b/>
        <sz val="8"/>
        <rFont val="Verdana"/>
        <family val="2"/>
      </rPr>
      <t xml:space="preserve"> in provincia di Parma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</si>
  <si>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 in convenzione</t>
    </r>
    <r>
      <rPr>
        <b/>
        <sz val="8"/>
        <rFont val="Verdana"/>
        <family val="2"/>
      </rPr>
      <t xml:space="preserve"> in provincia di Reggio Emilia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</si>
  <si>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 in convenzione</t>
    </r>
    <r>
      <rPr>
        <b/>
        <sz val="8"/>
        <rFont val="Verdana"/>
        <family val="2"/>
      </rPr>
      <t xml:space="preserve"> in provincia di Modena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</si>
  <si>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 in convenzione</t>
    </r>
    <r>
      <rPr>
        <b/>
        <sz val="8"/>
        <rFont val="Verdana"/>
        <family val="2"/>
      </rPr>
      <t xml:space="preserve"> in provincia di Bologna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</si>
  <si>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 in convenzione</t>
    </r>
    <r>
      <rPr>
        <b/>
        <sz val="8"/>
        <rFont val="Verdana"/>
        <family val="2"/>
      </rPr>
      <t xml:space="preserve"> in provincia di Ferrara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</si>
  <si>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 in convenzione</t>
    </r>
    <r>
      <rPr>
        <b/>
        <sz val="8"/>
        <rFont val="Verdana"/>
        <family val="2"/>
      </rPr>
      <t xml:space="preserve"> in provincia di Ravenna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</si>
  <si>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 in convenzione</t>
    </r>
    <r>
      <rPr>
        <b/>
        <sz val="8"/>
        <rFont val="Verdana"/>
        <family val="2"/>
      </rPr>
      <t xml:space="preserve"> in provincia di Forlì - Cesena - a.s. 2005/2006</t>
    </r>
  </si>
  <si>
    <r>
      <t xml:space="preserve">Media mesi e giornate di apertura dei nidi d'infanzia, micro-nidi e sezioni di nido aggregate a scuole dell'infanzia - servizi a </t>
    </r>
    <r>
      <rPr>
        <b/>
        <u val="single"/>
        <sz val="8"/>
        <rFont val="Verdana"/>
        <family val="2"/>
      </rPr>
      <t>gestione privata in convenzione</t>
    </r>
    <r>
      <rPr>
        <b/>
        <sz val="8"/>
        <rFont val="Verdana"/>
        <family val="2"/>
      </rPr>
      <t xml:space="preserve"> in provincia di Rimini - a.s. 2005/2006</t>
    </r>
  </si>
  <si>
    <t>Numero di nidi d'infanzia, micro-nidi e sezioni di nido aggregate a scuole dell'infanzia pubblici e privati, numero di posti, numero di sezioni - pubblici e privati per provincia e per comune in Emilia-Romagna - a.s. 2005/2006</t>
  </si>
  <si>
    <t>Numero nidi d'infanzia, micro-nidi e sezioni di nido aggregate a scuole dell'infanzia e n. posti - pubblici e privati in Provincia di Piacenza  - a.s. 2005/2006</t>
  </si>
  <si>
    <t>Numero nidi d'infanzia, micro-nidi e sezioni di nido aggregate a scuole dell'infanzia e n. posti - servizi comunali e pubblici in Provincia di Reggio Emilia - a.s. 2005/2006</t>
  </si>
  <si>
    <t>Numero nidi d'infanzia, micro-nidi e sezioni di nido aggregate a scuole dell'infanzia e n. posti - a gestione indiretta comunale in Provincia di Reggio Emilia - a.s. 2005/2006</t>
  </si>
  <si>
    <t>Numero nidi d'infanzia, micro-nidi e sezioni di nido aggregate a scuole dell'infanzia e n. posti - servizi convenzionati con i Comuni in Provincia di Reggio Emilia - a.s. 2005/2006</t>
  </si>
  <si>
    <t>Numero di nidi d'infanzia, micro-nidi e sezioni di nido aggregate a scuole dell'infanzia e numero di posti - servizi a gestione privata in Provincia di Reggio Emilia - a.s. 2005/2006</t>
  </si>
  <si>
    <t>Numero nidi d'infanzia, micro-nidi e sezioni di nido aggregate a scuole dell'infanzia e n. posti - servizi convenzionati con i Comuni in Provincia di Modena - a.s. 2005/2006</t>
  </si>
  <si>
    <t>Numero nidi d'infanzia, micro-nidi e sezioni di nido aggregate a scuole dell'infanzia e n. posti - servizi comunali e pubblici in Provincia di Ferrara - a.s. 2005/2006</t>
  </si>
  <si>
    <t>Numero nidi d'infanzia, micro-nidi e sezioni di nido aggregate a scuole dell'infanzia e n. posti - a gestione indiretta comunale in Provincia di Ferrara - a.s. 2005/2006</t>
  </si>
  <si>
    <t>Numero nidi d'infanzia, micro-nidi e sezioni di nido aggregate a scuole dell'infanzia e n. posti - servizi convenzionati con i Comuni in Provincia di Ferrara - a.s. 2005/2006</t>
  </si>
  <si>
    <t>Voghiera</t>
  </si>
  <si>
    <t>Numero nidi d'infanzia, micro-nidi e sezioni di nido aggregate a scuole dell'infanzia e n. posti - pubblici e privati in Provincia di Ferrara - a.s. 2005/2006</t>
  </si>
  <si>
    <t>Numero nidi d'infanzia, micro-nidi e sezioni di nido aggregate a scuole dell'infanzia e n. posti - servizi comunali in Provincia di Bologna - a.s. 2005/2006</t>
  </si>
  <si>
    <t>Numero nidi d'infanzia, micro-nidi e sezioni di nido aggregate a scuole dell'infanzia e n. posti - pubblici e privati in Provincia di Bologna - a.s. 2005/2006</t>
  </si>
  <si>
    <t>Numero di nidi d'infanzia, micro-nidi e sezioni di nido aggregate a scuole dell'infanzia e numero di posti - servizi a gestione privata in Provincia di Modena - a.s. 2005/2006</t>
  </si>
  <si>
    <t>Numero di nidi d'infanzia, micro-nidi e sezioni di nido aggregate a scuole dell'infanzia e numero di posti - servizi a gestione privata in Provincia di Ferrara - a.s. 2005/2006</t>
  </si>
  <si>
    <t>Numero nidi d'infanzia, micro-nidi e sezioni di nido aggregate a scuole dell'infanzia e n. posti - pubblici e privati in Provincia di Modena - a.s. 2005/2006</t>
  </si>
  <si>
    <t>Numero nidi d'infanzia, micro-nidi e sezioni di nido aggregate a scuole dell'infanzia e n. posti - servizi comunali in Provincia di Modena - a.s. 2005/2006</t>
  </si>
  <si>
    <t>Numero nidi d'infanzia, micro-nidi e sezioni di nido aggregate a scuole dell'infanzia e n. posti - pubblici e privati in Provincia di Reggio Emilia - a.s. 2005/2006</t>
  </si>
  <si>
    <t>Numero nidi d'infanzia, micro-nidi e sezioni di nido aggregate a scuole dell'infanzia e n. posti - pubblici e privati in Provincia di Ravenna - a.s. 2005/2006</t>
  </si>
  <si>
    <t>Numero nidi d'infanzia, micro-nidi e sezioni di nido aggregate a scuole dell'infanzia e n. posti - servizi comunali in Provincia di Ravenna - a.s. 2005/2006</t>
  </si>
  <si>
    <t>Numero nidi d'infanzia, micro-nidi e sezioni di nido aggregate a scuole dell'infanzia e n. posti - servizi comunali in Provincia di Forlì - Cesena - a.s. 2005/2006</t>
  </si>
  <si>
    <t>Numero nidi d'infanzia, micro-nidi e sezioni di nido aggregate a scuole dell'infanzia e n. posti - a gestione indiretta comunale in Provincia di Forlì - Cesena - a.s. 2005/2006</t>
  </si>
  <si>
    <t>Numero nidi d'infanzia, micro-nidi e sezioni di nido aggregate a scuole dell'infanzia e n. posti - servizi convenzionati con i Comuni in Provincia di Forlì - Cesena - a.s. 2005/2006</t>
  </si>
  <si>
    <t>Borghi</t>
  </si>
  <si>
    <t>Numero di nidi d'infanzia, micro-nidi e sezioni di nido aggregate a scuole dell'infanzia e numero di posti - servizi a gestione privata in Provincia di Forlì - Cesena - a.s. 2005/2006</t>
  </si>
  <si>
    <t>Numero di nidi d'infanzia, micro-nidi e sezioni di nido aggregate a scuole dell'infanzia e numero di posti - servizi a gestione privata in Provincia di Rimini - a.s. 2005/2006</t>
  </si>
  <si>
    <t>Numero nidi d'infanzia, micro-nidi e sezioni di nido aggregate a scuole dell'infanzia e n. posti - pubblici e privati in Provincia di Rimini - a.s. 2005/2006</t>
  </si>
  <si>
    <t>Numero nidi d'infanzia, micro-nidi e sezioni di nido aggregate a scuole dell'infanzia e n. posti - pubblici e privati in Provincia di Forlì - Cesena - a.s. 2005/2006</t>
  </si>
  <si>
    <t>Numero nidi d'infanzia, micro-nidi e sezioni di nido aggregate a scuole dell'infanzia e n. posti - pubblici e privati in Provincia di Parma  - a.s. 2005/2006</t>
  </si>
  <si>
    <t>Numero nidi d'infanzia, micro-nidi e sezioni di nido aggregate a scuole dell'infanzia e n. posti - a gestione indiretta comunale in Provincia di Modena - a.s. 2005/2006</t>
  </si>
  <si>
    <t>Numero nidi d'infanzia, micro-nidi e sezioni di nido aggregate a scuole dell'infanzia e n. posti - servizi comunali e pubblici in Provincia di Rimini - a.s. 2005/2006</t>
  </si>
  <si>
    <t>Modena: un servizio con titolarità IPAB</t>
  </si>
  <si>
    <t>Numero nidi d'infanzia, micro-nidi e sezioni di nido aggregate a scuole dell'infanzia e n. posti - a gestione indiretta comunale in Provincia di Rimini - a.s. 2005/2006</t>
  </si>
  <si>
    <t>Morciano di Romagna: Comune dell'Unione della Valconca formato dai Comuni di Mondaino, Montefiore Conca, Morciano, San Clemente</t>
  </si>
  <si>
    <t>Numero nidi d'infanzia, micro-nidi e sezioni di nido aggregate a scuole dell'infanzia e n. posti - servizi convenzionati con i Comuni in Provincia di Rimini - a.s. 2005/2006</t>
  </si>
  <si>
    <t>Argelato: nido aziendale Centergross S.r.l.</t>
  </si>
  <si>
    <t>In Comune Sorbolo un servizio è a titolarità dell'Unione dei Comuni di Sorbolo e Mezzani</t>
  </si>
  <si>
    <t>In Comune di Castelnovo Di Sotto un servizio vede la titolarità comunale e la gestione IPAB</t>
  </si>
  <si>
    <t>In Comune di Modena un servizio vede come titolarità il Policlinico di Modena e un altro la Ditta Tetrapack</t>
  </si>
  <si>
    <t>* Unione Terre di Castelli: Castelnuovo Rangone, Castelvetro, Savignano sul Panaro, Spilamberto, Vignola</t>
  </si>
  <si>
    <t>In Comune di Ravenna un servizio vede la titolarità della Questura di Ravenna e un altro dell'Ospedale Privato Domus Nova S.p.a.</t>
  </si>
  <si>
    <t>In Comune di Forlì un servizio è a titolarità del Mangimificio-Centro Imballaggio Sabbatani di Sabbatani Giuseppino e C SNC</t>
  </si>
  <si>
    <t>In Comune di Montescudo un servizio è a gestione IPAB</t>
  </si>
  <si>
    <t>N. sezioni</t>
  </si>
  <si>
    <t>Totale sezioni</t>
  </si>
  <si>
    <t>Tavola 02.01</t>
  </si>
  <si>
    <t>Tavola 02.02</t>
  </si>
  <si>
    <t>Tavola 02.03</t>
  </si>
  <si>
    <t>Tavola 02.04</t>
  </si>
  <si>
    <t>Tavola 02.05</t>
  </si>
  <si>
    <t>Numero sezioni e orario di apertura dei nidi d'infanzia, micro-nidi e sezioni di nido aggregate a scuole dell'infanzia - servizi a gestione pubblica in Provincia di Modena - a.s. 2005/2006</t>
  </si>
  <si>
    <t>Tavola 02.07</t>
  </si>
  <si>
    <t>Tavola 02.06</t>
  </si>
  <si>
    <t>Numero sezioni e orario di apertura dei nidi d'infanzia, micro-nidi e sezioni di nido aggregate a scuole dell'infanzia - servizi a gestione pubblica e privata in Emilia-Romagna - a.s. 2005/2006</t>
  </si>
  <si>
    <t>Numero sezioni e orario di apertura dei nidi d'infanzia, micro-nidi e sezioni di nido aggregate a scuole dell'infanzia - servizi a gestione pubblica in Provincia di Reggio Emilia - a.s. 2005/2006</t>
  </si>
  <si>
    <t>Numero sezioni e orario di apertura dei nidi d'infanzia, micro-nidi e sezioni di nido aggregate a scuole dell'infanzia - servizi a gestione pubblica in Provincia di Parma - a.s. 2005/2006</t>
  </si>
  <si>
    <t>Numero sezioni e orario di apertura dei nidi d'infanzia, micro-nidi e sezioni di nido aggregate a scuole dell'infanzia - servizi a gestione pubblica in Provincia di Piacenza - a.s. 2005/2006</t>
  </si>
  <si>
    <t>Numero sezioni e orario di apertura dei nidi d'infanzia, micro-nidi e sezioni di nido aggregate a scuole dell'infanzia - servizi a gestione pubblica in Provincia di Bologna - a.s. 2005/2006</t>
  </si>
  <si>
    <t>Numero sezioni e orario di apertura dei nidi d'infanzia, micro-nidi e sezioni di nido aggregate a scuole dell'infanzia - servizi a gestione pubblica in Provincia di Ferrara - a.s. 2005/2006</t>
  </si>
  <si>
    <t>Numero sezioni e orario di apertura dei nidi d'infanzia, micro-nidi e sezioni di nido aggregate a scuole dell'infanzia - servizi a gestione pubblica in Provincia di Ravenna - a.s. 2005/2006</t>
  </si>
  <si>
    <t>Numero sezioni e orario di apertura dei nidi d'infanzia, micro-nidi e sezioni di nido aggregate a scuole dell'infanzia - servizi a gestione pubblica in Provincia di Forlì-Cesena - a.s. 2005/2006</t>
  </si>
  <si>
    <t>Numero sezioni e orario di apertura dei nidi d'infanzia, micro-nidi e sezioni di nido aggregate a scuole dell'infanzia - servizi a gestione pubblica in Provincia di Rimini - a.s. 2005/2006</t>
  </si>
  <si>
    <t>Numero sezioni e orario di apertura dei nidi d'infanzia, micro-nidi e sezioni di nido aggregate a scuole dell'infanzia - servizi a gestione pubblica in Emilia-Romagna - a.s. 2005/2006</t>
  </si>
  <si>
    <t>Media mesi di apertura</t>
  </si>
  <si>
    <t>media ore apertura</t>
  </si>
  <si>
    <t>Sezioni a tempo pieno</t>
  </si>
  <si>
    <t>Sezioni a part time</t>
  </si>
  <si>
    <t>Tavola 02.08</t>
  </si>
  <si>
    <t>Numero sezioni e orario di apertura dei nidi d'infanzia, micro-nidi e sezioni di nido aggregate a scuole dell'infanzia - servizi a gestione pubblica indiretta in Provincia di Piacenza - a.s. 2005/2006</t>
  </si>
  <si>
    <t>Media giornate apertura</t>
  </si>
  <si>
    <t>Numero sezioni e orario di apertura dei nidi d'infanzia, micro-nidi e sezioni di nido aggregate a scuole dell'infanzia - servizi a gestione privata in convenzione con le Amministrazioni comunali in Provincia di Piacenza - a.s. 2005/2006</t>
  </si>
  <si>
    <t>Numero sezioni e orario di apertura dei nidi d'infanzia, micro-nidi e sezioni di nido aggregate a scuole dell'infanzia - servizi a gestione privata in Provincia di Piacenza - a.s. 2005/2006</t>
  </si>
  <si>
    <t>Tavola 02.09</t>
  </si>
  <si>
    <t>Tavola 02.10</t>
  </si>
  <si>
    <t>Media giornate annue di apertura</t>
  </si>
  <si>
    <t>Numero sezioni e orario di apertura dei nidi d'infanzia, micro-nidi e sezioni di nido aggregate a scuole dell'infanzia - servizi a gestione pubblica indiretta in Provincia di Parma - a.s. 2005/2006</t>
  </si>
  <si>
    <t>Numero sezioni e orario di apertura dei nidi d'infanzia, micro-nidi e sezioni di nido aggregate a scuole dell'infanzia - servizi a gestione privata in convenzione con le Amministrazioni comunali in Provincia di Parma - a.s. 2005/2006</t>
  </si>
  <si>
    <r>
      <t xml:space="preserve">Media mesi e giornate di apertura dei nidi d'infanzia, micro-nidi e sezioni di nido aggregate a scuole dell'infanzia - servizi a </t>
    </r>
    <r>
      <rPr>
        <b/>
        <u val="single"/>
        <sz val="9"/>
        <rFont val="Verdana"/>
        <family val="2"/>
      </rPr>
      <t>gestione privata</t>
    </r>
    <r>
      <rPr>
        <b/>
        <sz val="9"/>
        <rFont val="Verdana"/>
        <family val="2"/>
      </rPr>
      <t xml:space="preserve"> in Emilia-Romagna - a.s. 2005/2006</t>
    </r>
  </si>
  <si>
    <t>Numero sezioni e orario di apertura dei nidi d'infanzia, micro-nidi e sezioni di nido aggregate a scuole dell'infanzia - servizi a gestione privata in Provincia di Parma - a.s. 2005/2006</t>
  </si>
  <si>
    <t>Vezzano Sul Crostolo: non fornito l'orario di apertura di un servizio</t>
  </si>
  <si>
    <t>Numero sezioni e orario di apertura dei nidi d'infanzia, micro-nidi e sezioni di nido aggregate a scuole dell'infanzia - servizi a gestione privata in convenzione con le Amministrazioni comunali in Provincia di Reggio Emilia - a.s. 2005/2006</t>
  </si>
  <si>
    <t>Numero sezioni e orario di apertura dei nidi d'infanzia, micro-nidi e sezioni di nido aggregate a scuole dell'infanzia - servizi a gestione privata in convenzione con le Amministrazioni comunali in Provincia di Modena - a.s. 2005/2006</t>
  </si>
  <si>
    <t>Numero sezioni e orario di apertura dei nidi d'infanzia, micro-nidi e sezioni di nido aggregate a scuole dell'infanzia - servizi a gestione privata in Provincia di Reggio Emilia - a.s. 2005/2006</t>
  </si>
  <si>
    <t>Numero sezioni e orario di apertura dei nidi d'infanzia, micro-nidi e sezioni di nido aggregate a scuole dell'infanzia - servizi a gestione privata in Provincia di Modena - a.s. 2005/2006</t>
  </si>
  <si>
    <t>Numero sezioni e orario di apertura dei nidi d'infanzia, micro-nidi e sezioni di nido aggregate a scuole dell'infanzia - servizi a gestione pubblica indiretta in Provincia di Reggio Emilia - a.s. 2005/2006</t>
  </si>
  <si>
    <t>Numero sezioni e orario di apertura dei nidi d'infanzia, micro-nidi e sezioni di nido aggregate a scuole dell'infanzia - servizi a gestione pubblica indiretta in Provincia di Modena - a.s. 2005/2006</t>
  </si>
  <si>
    <t>Crespellano: non è stato fornito il dato relativo alle giornate di apertura</t>
  </si>
  <si>
    <t>Numero sezioni e orario di apertura dei nidi d'infanzia, micro-nidi e sezioni di nido aggregate a scuole dell'infanzia - servizi a gestione pubblica indiretta in Provincia di Bologna - a.s. 2005/2006</t>
  </si>
  <si>
    <t>Numero sezioni e orario di apertura dei nidi d'infanzia, micro-nidi e sezioni di nido aggregate a scuole dell'infanzia - servizi a gestione privata in convenzione con le Amministrazioni comunali in Provincia di Bologna - a.s. 2005/2006</t>
  </si>
  <si>
    <t>Numero sezioni e orario di apertura dei nidi d'infanzia, micro-nidi e sezioni di nido aggregate a scuole dell'infanzia - servizi a gestione privata in Provincia di Bologna - a.s. 2005/2006</t>
  </si>
  <si>
    <t>Castel Maggiore: indicato una sezione a part time con apertura superiore alle 8 ore</t>
  </si>
  <si>
    <t>Numero sezioni e orario di apertura dei nidi d'infanzia, micro-nidi e sezioni di nido aggregate a scuole dell'infanzia - servizi a gestione pubblica indiretta in Provincia di Ferrara - a.s. 2005/2006</t>
  </si>
  <si>
    <t>Numero sezioni e orario di apertura dei nidi d'infanzia, micro-nidi e sezioni di nido aggregate a scuole dell'infanzia - servizi a gestione privata in convenzione con le Amministrazioni comunali in Provincia di Ferrara - a.s. 2005/2006</t>
  </si>
  <si>
    <t>Numero sezioni e orario di apertura dei nidi d'infanzia, micro-nidi e sezioni di nido aggregate a scuole dell'infanzia - servizi a gestione privata in Provincia di Ferrara - a.s. 2005/2006</t>
  </si>
  <si>
    <t>Numero sezioni e orario di apertura dei nidi d'infanzia, micro-nidi e sezioni di nido aggregate a scuole dell'infanzia - servizi a gestione pubblica indiretta in Provincia di Ravenna - a.s. 2005/2006</t>
  </si>
  <si>
    <t>Numero sezioni e orario di apertura dei nidi d'infanzia, micro-nidi e sezioni di nido aggregate a scuole dell'infanzia - servizi a gestione pubblica indiretta in Provincia di Forlì-Cesena - a.s. 2005/2006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</si>
</sst>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_);_(* \(#,##0\);_(* &quot;-&quot;??_);_(@_)"/>
    <numFmt numFmtId="167" formatCode="0.0000"/>
    <numFmt numFmtId="168" formatCode="0.000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%"/>
    <numFmt numFmtId="174" formatCode="_-* #,##0.0_-;\-* #,##0.0_-;_-* &quot;-&quot;_-;_-@_-"/>
    <numFmt numFmtId="175" formatCode="#,##0.0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#,##0.000"/>
    <numFmt numFmtId="183" formatCode="_-* #,##0.00_-;\-* #,##0.00_-;_-* &quot;-&quot;_-;_-@_-"/>
    <numFmt numFmtId="184" formatCode="0.0000000"/>
    <numFmt numFmtId="185" formatCode="0.000000"/>
    <numFmt numFmtId="186" formatCode="0.00000"/>
    <numFmt numFmtId="187" formatCode="#,##0_ ;\-#,##0\ "/>
    <numFmt numFmtId="188" formatCode="0.00000000"/>
    <numFmt numFmtId="189" formatCode="0.000000000"/>
    <numFmt numFmtId="190" formatCode="0.0000000000"/>
    <numFmt numFmtId="191" formatCode="_-* #,##0.000_-;\-* #,##0.000_-;_-* &quot;-&quot;??_-;_-@_-"/>
    <numFmt numFmtId="192" formatCode="_-* #,##0.000_-;\-* #,##0.000_-;_-* &quot;-&quot;???_-;_-@_-"/>
    <numFmt numFmtId="193" formatCode="_-* #,##0.0_-;\-* #,##0.0_-;_-* &quot;-&quot;?_-;_-@_-"/>
    <numFmt numFmtId="194" formatCode="_-* #,##0.00_-;\-* #,##0.00_-;_-* &quot;-&quot;?_-;_-@_-"/>
    <numFmt numFmtId="195" formatCode="_-* #,##0.0000_-;\-* #,##0.0000_-;_-* &quot;-&quot;??_-;_-@_-"/>
    <numFmt numFmtId="196" formatCode="_-* #,##0.00000_-;\-* #,##0.00000_-;_-* &quot;-&quot;??_-;_-@_-"/>
    <numFmt numFmtId="197" formatCode="_-* #,##0.000_-;\-* #,##0.000_-;_-* &quot;-&quot;_-;_-@_-"/>
    <numFmt numFmtId="198" formatCode="_(* #,##0.0_);_(* \(#,##0.0\);_(* &quot;-&quot;??_);_(@_)"/>
    <numFmt numFmtId="199" formatCode="_(* #,##0.00_);_(* \(#,##0.00\);_(* &quot;-&quot;??_);_(@_)"/>
    <numFmt numFmtId="200" formatCode="#,##0.0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mmmm\ d\,\ yyyy"/>
    <numFmt numFmtId="209" formatCode="_(* #,##0.000_);_(* \(#,##0.000\);_(* &quot;-&quot;??_);_(@_)"/>
    <numFmt numFmtId="210" formatCode="_(* #,##0.0000_);_(* \(#,##0.0000\);_(* &quot;-&quot;??_);_(@_)"/>
    <numFmt numFmtId="211" formatCode="0;[Red]0"/>
    <numFmt numFmtId="212" formatCode="0.00;[Red]0.00"/>
    <numFmt numFmtId="213" formatCode="_-* #,##0.0000_-;\-* #,##0.0000_-;_-* &quot;-&quot;????_-;_-@_-"/>
    <numFmt numFmtId="214" formatCode="_-* #,##0.0000_-;\-* #,##0.0000_-;_-* &quot;-&quot;_-;_-@_-"/>
    <numFmt numFmtId="215" formatCode="_-* #,##0.000000_-;\-* #,##0.000000_-;_-* &quot;-&quot;??_-;_-@_-"/>
    <numFmt numFmtId="216" formatCode="_-* #,##0.0000000_-;\-* #,##0.0000000_-;_-* &quot;-&quot;??_-;_-@_-"/>
  </numFmts>
  <fonts count="4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7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10.5"/>
      <name val="Arial"/>
      <family val="2"/>
    </font>
    <font>
      <sz val="9.5"/>
      <name val="Arial"/>
      <family val="2"/>
    </font>
    <font>
      <sz val="11.25"/>
      <name val="Arial"/>
      <family val="0"/>
    </font>
    <font>
      <sz val="8.25"/>
      <name val="Arial"/>
      <family val="2"/>
    </font>
    <font>
      <b/>
      <sz val="9.25"/>
      <name val="Arial"/>
      <family val="2"/>
    </font>
    <font>
      <sz val="10.5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sz val="7"/>
      <name val="Arial"/>
      <family val="2"/>
    </font>
    <font>
      <sz val="9"/>
      <color indexed="8"/>
      <name val="Verdana"/>
      <family val="2"/>
    </font>
    <font>
      <b/>
      <sz val="7"/>
      <name val="Verdana"/>
      <family val="2"/>
    </font>
    <font>
      <i/>
      <sz val="7"/>
      <name val="Arial"/>
      <family val="2"/>
    </font>
    <font>
      <sz val="6"/>
      <name val="Verdana"/>
      <family val="2"/>
    </font>
    <font>
      <b/>
      <u val="single"/>
      <sz val="9"/>
      <name val="Verdana"/>
      <family val="2"/>
    </font>
    <font>
      <sz val="8.75"/>
      <name val="Arial"/>
      <family val="0"/>
    </font>
    <font>
      <b/>
      <sz val="10.75"/>
      <name val="Arial"/>
      <family val="0"/>
    </font>
    <font>
      <sz val="6.5"/>
      <name val="Arial"/>
      <family val="2"/>
    </font>
    <font>
      <sz val="9"/>
      <name val="Arial"/>
      <family val="0"/>
    </font>
    <font>
      <sz val="8.5"/>
      <name val="Arial"/>
      <family val="2"/>
    </font>
    <font>
      <sz val="7.25"/>
      <name val="Arial"/>
      <family val="2"/>
    </font>
    <font>
      <b/>
      <sz val="8.75"/>
      <name val="Arial"/>
      <family val="2"/>
    </font>
    <font>
      <sz val="6"/>
      <name val="Arial"/>
      <family val="2"/>
    </font>
    <font>
      <b/>
      <u val="single"/>
      <sz val="8"/>
      <name val="Verdana"/>
      <family val="2"/>
    </font>
    <font>
      <sz val="9"/>
      <color indexed="30"/>
      <name val="Verdana"/>
      <family val="2"/>
    </font>
    <font>
      <b/>
      <sz val="9"/>
      <color indexed="30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3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165" fontId="12" fillId="0" borderId="1" xfId="18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165" fontId="15" fillId="0" borderId="5" xfId="18" applyNumberFormat="1" applyFont="1" applyFill="1" applyBorder="1" applyAlignment="1">
      <alignment horizontal="right" wrapText="1"/>
    </xf>
    <xf numFmtId="165" fontId="14" fillId="0" borderId="5" xfId="18" applyNumberFormat="1" applyFont="1" applyFill="1" applyBorder="1" applyAlignment="1">
      <alignment wrapText="1"/>
    </xf>
    <xf numFmtId="165" fontId="15" fillId="0" borderId="6" xfId="18" applyNumberFormat="1" applyFont="1" applyFill="1" applyBorder="1" applyAlignment="1">
      <alignment horizontal="right" wrapText="1"/>
    </xf>
    <xf numFmtId="0" fontId="15" fillId="0" borderId="7" xfId="0" applyNumberFormat="1" applyFont="1" applyFill="1" applyBorder="1" applyAlignment="1">
      <alignment horizontal="left" wrapText="1"/>
    </xf>
    <xf numFmtId="0" fontId="12" fillId="0" borderId="3" xfId="0" applyFont="1" applyFill="1" applyBorder="1" applyAlignment="1">
      <alignment vertical="center"/>
    </xf>
    <xf numFmtId="165" fontId="15" fillId="0" borderId="8" xfId="18" applyNumberFormat="1" applyFont="1" applyFill="1" applyBorder="1" applyAlignment="1">
      <alignment horizontal="right" wrapText="1"/>
    </xf>
    <xf numFmtId="165" fontId="12" fillId="0" borderId="3" xfId="18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165" fontId="2" fillId="0" borderId="9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vertical="center"/>
    </xf>
    <xf numFmtId="43" fontId="2" fillId="0" borderId="11" xfId="0" applyNumberFormat="1" applyFont="1" applyFill="1" applyBorder="1" applyAlignment="1">
      <alignment/>
    </xf>
    <xf numFmtId="43" fontId="1" fillId="0" borderId="3" xfId="0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5" xfId="0" applyFont="1" applyFill="1" applyBorder="1" applyAlignment="1">
      <alignment horizontal="left" wrapText="1"/>
    </xf>
    <xf numFmtId="165" fontId="15" fillId="0" borderId="5" xfId="18" applyNumberFormat="1" applyFont="1" applyFill="1" applyBorder="1" applyAlignment="1">
      <alignment horizontal="right" wrapText="1"/>
    </xf>
    <xf numFmtId="165" fontId="14" fillId="0" borderId="5" xfId="18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2" fillId="0" borderId="12" xfId="0" applyNumberFormat="1" applyFont="1" applyFill="1" applyBorder="1" applyAlignment="1">
      <alignment/>
    </xf>
    <xf numFmtId="165" fontId="14" fillId="0" borderId="13" xfId="18" applyNumberFormat="1" applyFont="1" applyFill="1" applyBorder="1" applyAlignment="1">
      <alignment wrapText="1"/>
    </xf>
    <xf numFmtId="165" fontId="15" fillId="0" borderId="14" xfId="18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165" fontId="15" fillId="0" borderId="15" xfId="18" applyNumberFormat="1" applyFont="1" applyFill="1" applyBorder="1" applyAlignment="1">
      <alignment horizontal="right" wrapText="1"/>
    </xf>
    <xf numFmtId="165" fontId="15" fillId="0" borderId="16" xfId="18" applyNumberFormat="1" applyFont="1" applyFill="1" applyBorder="1" applyAlignment="1">
      <alignment horizontal="right" wrapText="1"/>
    </xf>
    <xf numFmtId="165" fontId="15" fillId="0" borderId="17" xfId="18" applyNumberFormat="1" applyFont="1" applyFill="1" applyBorder="1" applyAlignment="1">
      <alignment horizontal="right" wrapText="1"/>
    </xf>
    <xf numFmtId="165" fontId="14" fillId="0" borderId="18" xfId="18" applyNumberFormat="1" applyFont="1" applyFill="1" applyBorder="1" applyAlignment="1">
      <alignment wrapText="1"/>
    </xf>
    <xf numFmtId="165" fontId="15" fillId="0" borderId="18" xfId="18" applyNumberFormat="1" applyFont="1" applyFill="1" applyBorder="1" applyAlignment="1">
      <alignment horizontal="right" wrapText="1"/>
    </xf>
    <xf numFmtId="165" fontId="15" fillId="0" borderId="19" xfId="18" applyNumberFormat="1" applyFont="1" applyFill="1" applyBorder="1" applyAlignment="1">
      <alignment horizontal="right" wrapText="1"/>
    </xf>
    <xf numFmtId="165" fontId="15" fillId="0" borderId="20" xfId="18" applyNumberFormat="1" applyFont="1" applyFill="1" applyBorder="1" applyAlignment="1">
      <alignment horizontal="right" wrapText="1"/>
    </xf>
    <xf numFmtId="165" fontId="15" fillId="0" borderId="21" xfId="18" applyNumberFormat="1" applyFont="1" applyFill="1" applyBorder="1" applyAlignment="1">
      <alignment horizontal="right" wrapText="1"/>
    </xf>
    <xf numFmtId="165" fontId="14" fillId="0" borderId="22" xfId="18" applyNumberFormat="1" applyFont="1" applyFill="1" applyBorder="1" applyAlignment="1">
      <alignment wrapText="1"/>
    </xf>
    <xf numFmtId="165" fontId="15" fillId="0" borderId="9" xfId="18" applyNumberFormat="1" applyFont="1" applyFill="1" applyBorder="1" applyAlignment="1">
      <alignment horizontal="right" wrapText="1"/>
    </xf>
    <xf numFmtId="165" fontId="15" fillId="0" borderId="10" xfId="18" applyNumberFormat="1" applyFont="1" applyFill="1" applyBorder="1" applyAlignment="1">
      <alignment horizontal="right" wrapText="1"/>
    </xf>
    <xf numFmtId="165" fontId="15" fillId="0" borderId="12" xfId="18" applyNumberFormat="1" applyFont="1" applyFill="1" applyBorder="1" applyAlignment="1">
      <alignment horizontal="right" wrapText="1"/>
    </xf>
    <xf numFmtId="165" fontId="14" fillId="0" borderId="23" xfId="18" applyNumberFormat="1" applyFont="1" applyFill="1" applyBorder="1" applyAlignment="1">
      <alignment wrapText="1"/>
    </xf>
    <xf numFmtId="165" fontId="15" fillId="0" borderId="23" xfId="18" applyNumberFormat="1" applyFont="1" applyFill="1" applyBorder="1" applyAlignment="1">
      <alignment horizontal="right" wrapText="1"/>
    </xf>
    <xf numFmtId="0" fontId="15" fillId="0" borderId="22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vertical="center"/>
    </xf>
    <xf numFmtId="165" fontId="15" fillId="0" borderId="22" xfId="18" applyNumberFormat="1" applyFont="1" applyFill="1" applyBorder="1" applyAlignment="1">
      <alignment horizontal="right" wrapText="1"/>
    </xf>
    <xf numFmtId="43" fontId="8" fillId="0" borderId="11" xfId="0" applyNumberFormat="1" applyFont="1" applyFill="1" applyBorder="1" applyAlignment="1">
      <alignment/>
    </xf>
    <xf numFmtId="43" fontId="12" fillId="0" borderId="3" xfId="0" applyNumberFormat="1" applyFont="1" applyFill="1" applyBorder="1" applyAlignment="1">
      <alignment vertical="center"/>
    </xf>
    <xf numFmtId="43" fontId="8" fillId="0" borderId="12" xfId="0" applyNumberFormat="1" applyFont="1" applyFill="1" applyBorder="1" applyAlignment="1">
      <alignment/>
    </xf>
    <xf numFmtId="43" fontId="12" fillId="0" borderId="1" xfId="0" applyNumberFormat="1" applyFont="1" applyFill="1" applyBorder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165" fontId="29" fillId="2" borderId="25" xfId="18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0" fontId="15" fillId="0" borderId="22" xfId="0" applyNumberFormat="1" applyFont="1" applyFill="1" applyBorder="1" applyAlignment="1">
      <alignment horizontal="left" wrapText="1"/>
    </xf>
    <xf numFmtId="166" fontId="8" fillId="0" borderId="26" xfId="18" applyNumberFormat="1" applyFont="1" applyFill="1" applyBorder="1" applyAlignment="1">
      <alignment/>
    </xf>
    <xf numFmtId="166" fontId="12" fillId="0" borderId="18" xfId="18" applyNumberFormat="1" applyFont="1" applyFill="1" applyBorder="1" applyAlignment="1">
      <alignment/>
    </xf>
    <xf numFmtId="0" fontId="15" fillId="0" borderId="18" xfId="0" applyFont="1" applyFill="1" applyBorder="1" applyAlignment="1">
      <alignment horizontal="right" wrapText="1"/>
    </xf>
    <xf numFmtId="166" fontId="8" fillId="0" borderId="15" xfId="18" applyNumberFormat="1" applyFont="1" applyFill="1" applyBorder="1" applyAlignment="1">
      <alignment/>
    </xf>
    <xf numFmtId="43" fontId="8" fillId="0" borderId="27" xfId="18" applyFont="1" applyFill="1" applyBorder="1" applyAlignment="1">
      <alignment/>
    </xf>
    <xf numFmtId="165" fontId="8" fillId="0" borderId="27" xfId="18" applyNumberFormat="1" applyFont="1" applyFill="1" applyBorder="1" applyAlignment="1">
      <alignment/>
    </xf>
    <xf numFmtId="165" fontId="1" fillId="0" borderId="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183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83" fontId="6" fillId="0" borderId="0" xfId="0" applyNumberFormat="1" applyFont="1" applyFill="1" applyAlignment="1">
      <alignment/>
    </xf>
    <xf numFmtId="41" fontId="6" fillId="0" borderId="0" xfId="19" applyFont="1" applyFill="1" applyBorder="1" applyAlignment="1">
      <alignment horizontal="right"/>
    </xf>
    <xf numFmtId="2" fontId="6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19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8" fillId="0" borderId="0" xfId="18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165" fontId="12" fillId="0" borderId="0" xfId="18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horizontal="left" wrapText="1"/>
    </xf>
    <xf numFmtId="165" fontId="15" fillId="0" borderId="8" xfId="18" applyNumberFormat="1" applyFont="1" applyFill="1" applyBorder="1" applyAlignment="1">
      <alignment horizontal="right" wrapText="1"/>
    </xf>
    <xf numFmtId="165" fontId="15" fillId="0" borderId="6" xfId="18" applyNumberFormat="1" applyFont="1" applyFill="1" applyBorder="1" applyAlignment="1">
      <alignment horizontal="right" wrapText="1"/>
    </xf>
    <xf numFmtId="0" fontId="16" fillId="0" borderId="5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3" fillId="0" borderId="0" xfId="0" applyFont="1" applyAlignment="1">
      <alignment/>
    </xf>
    <xf numFmtId="199" fontId="8" fillId="0" borderId="0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wrapText="1"/>
    </xf>
    <xf numFmtId="165" fontId="15" fillId="0" borderId="28" xfId="18" applyNumberFormat="1" applyFont="1" applyFill="1" applyBorder="1" applyAlignment="1">
      <alignment horizontal="right" wrapText="1"/>
    </xf>
    <xf numFmtId="165" fontId="14" fillId="0" borderId="29" xfId="18" applyNumberFormat="1" applyFont="1" applyFill="1" applyBorder="1" applyAlignment="1">
      <alignment horizontal="right" vertical="center" wrapText="1"/>
    </xf>
    <xf numFmtId="165" fontId="14" fillId="0" borderId="30" xfId="18" applyNumberFormat="1" applyFont="1" applyFill="1" applyBorder="1" applyAlignment="1">
      <alignment horizontal="right" vertical="center" wrapText="1"/>
    </xf>
    <xf numFmtId="165" fontId="15" fillId="0" borderId="31" xfId="18" applyNumberFormat="1" applyFont="1" applyFill="1" applyBorder="1" applyAlignment="1">
      <alignment horizontal="right" wrapText="1"/>
    </xf>
    <xf numFmtId="0" fontId="13" fillId="0" borderId="3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4" fillId="0" borderId="33" xfId="18" applyNumberFormat="1" applyFont="1" applyFill="1" applyBorder="1" applyAlignment="1">
      <alignment horizontal="right" wrapText="1"/>
    </xf>
    <xf numFmtId="165" fontId="8" fillId="0" borderId="34" xfId="18" applyNumberFormat="1" applyFont="1" applyFill="1" applyBorder="1" applyAlignment="1">
      <alignment/>
    </xf>
    <xf numFmtId="165" fontId="8" fillId="0" borderId="20" xfId="18" applyNumberFormat="1" applyFont="1" applyFill="1" applyBorder="1" applyAlignment="1">
      <alignment/>
    </xf>
    <xf numFmtId="165" fontId="8" fillId="0" borderId="35" xfId="18" applyNumberFormat="1" applyFont="1" applyFill="1" applyBorder="1" applyAlignment="1">
      <alignment/>
    </xf>
    <xf numFmtId="165" fontId="8" fillId="0" borderId="26" xfId="18" applyNumberFormat="1" applyFont="1" applyFill="1" applyBorder="1" applyAlignment="1">
      <alignment/>
    </xf>
    <xf numFmtId="165" fontId="8" fillId="0" borderId="15" xfId="18" applyNumberFormat="1" applyFont="1" applyFill="1" applyBorder="1" applyAlignment="1">
      <alignment/>
    </xf>
    <xf numFmtId="165" fontId="8" fillId="0" borderId="36" xfId="18" applyNumberFormat="1" applyFont="1" applyFill="1" applyBorder="1" applyAlignment="1">
      <alignment/>
    </xf>
    <xf numFmtId="165" fontId="8" fillId="0" borderId="10" xfId="18" applyNumberFormat="1" applyFont="1" applyFill="1" applyBorder="1" applyAlignment="1">
      <alignment/>
    </xf>
    <xf numFmtId="165" fontId="8" fillId="0" borderId="11" xfId="18" applyNumberFormat="1" applyFont="1" applyFill="1" applyBorder="1" applyAlignment="1">
      <alignment/>
    </xf>
    <xf numFmtId="165" fontId="12" fillId="0" borderId="22" xfId="18" applyNumberFormat="1" applyFont="1" applyFill="1" applyBorder="1" applyAlignment="1">
      <alignment/>
    </xf>
    <xf numFmtId="165" fontId="12" fillId="0" borderId="18" xfId="18" applyNumberFormat="1" applyFont="1" applyFill="1" applyBorder="1" applyAlignment="1">
      <alignment/>
    </xf>
    <xf numFmtId="165" fontId="12" fillId="0" borderId="23" xfId="18" applyNumberFormat="1" applyFont="1" applyFill="1" applyBorder="1" applyAlignment="1">
      <alignment/>
    </xf>
    <xf numFmtId="43" fontId="15" fillId="0" borderId="37" xfId="18" applyFont="1" applyFill="1" applyBorder="1" applyAlignment="1">
      <alignment horizontal="right" wrapText="1"/>
    </xf>
    <xf numFmtId="43" fontId="14" fillId="0" borderId="38" xfId="18" applyFont="1" applyFill="1" applyBorder="1" applyAlignment="1">
      <alignment horizontal="right" vertical="center" wrapText="1"/>
    </xf>
    <xf numFmtId="0" fontId="30" fillId="0" borderId="39" xfId="0" applyFont="1" applyFill="1" applyBorder="1" applyAlignment="1">
      <alignment vertical="center" wrapText="1"/>
    </xf>
    <xf numFmtId="166" fontId="8" fillId="0" borderId="39" xfId="0" applyNumberFormat="1" applyFont="1" applyBorder="1" applyAlignment="1">
      <alignment vertical="center"/>
    </xf>
    <xf numFmtId="166" fontId="12" fillId="0" borderId="39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43" fontId="14" fillId="0" borderId="38" xfId="18" applyNumberFormat="1" applyFont="1" applyFill="1" applyBorder="1" applyAlignment="1">
      <alignment horizontal="right" vertical="center" wrapText="1"/>
    </xf>
    <xf numFmtId="0" fontId="16" fillId="0" borderId="0" xfId="20" applyFont="1" applyFill="1" applyBorder="1" applyAlignment="1">
      <alignment horizontal="left"/>
      <protection/>
    </xf>
    <xf numFmtId="0" fontId="16" fillId="0" borderId="0" xfId="21" applyFont="1" applyFill="1" applyBorder="1" applyAlignment="1">
      <alignment horizontal="left" vertical="center"/>
      <protection/>
    </xf>
    <xf numFmtId="0" fontId="15" fillId="0" borderId="0" xfId="0" applyFont="1" applyFill="1" applyBorder="1" applyAlignment="1">
      <alignment horizontal="left"/>
    </xf>
    <xf numFmtId="0" fontId="0" fillId="0" borderId="0" xfId="20">
      <alignment/>
      <protection/>
    </xf>
    <xf numFmtId="0" fontId="16" fillId="0" borderId="0" xfId="20" applyNumberFormat="1" applyFont="1" applyFill="1" applyBorder="1" applyAlignment="1">
      <alignment horizontal="left"/>
      <protection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5" fillId="0" borderId="40" xfId="0" applyFont="1" applyFill="1" applyBorder="1" applyAlignment="1">
      <alignment horizontal="left" wrapText="1"/>
    </xf>
    <xf numFmtId="165" fontId="15" fillId="0" borderId="41" xfId="18" applyNumberFormat="1" applyFont="1" applyFill="1" applyBorder="1" applyAlignment="1">
      <alignment horizontal="right" wrapText="1"/>
    </xf>
    <xf numFmtId="0" fontId="30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left" wrapText="1"/>
    </xf>
    <xf numFmtId="165" fontId="15" fillId="0" borderId="43" xfId="18" applyNumberFormat="1" applyFont="1" applyFill="1" applyBorder="1" applyAlignment="1">
      <alignment horizontal="right" wrapText="1"/>
    </xf>
    <xf numFmtId="165" fontId="15" fillId="0" borderId="44" xfId="18" applyNumberFormat="1" applyFont="1" applyFill="1" applyBorder="1" applyAlignment="1">
      <alignment horizontal="right" wrapText="1"/>
    </xf>
    <xf numFmtId="165" fontId="14" fillId="0" borderId="32" xfId="18" applyNumberFormat="1" applyFont="1" applyFill="1" applyBorder="1" applyAlignment="1">
      <alignment horizontal="right" vertical="center" wrapText="1"/>
    </xf>
    <xf numFmtId="165" fontId="14" fillId="0" borderId="1" xfId="18" applyNumberFormat="1" applyFont="1" applyFill="1" applyBorder="1" applyAlignment="1">
      <alignment horizontal="right" vertical="center" wrapText="1"/>
    </xf>
    <xf numFmtId="165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65" fontId="2" fillId="0" borderId="15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1" fillId="0" borderId="1" xfId="0" applyNumberFormat="1" applyFont="1" applyBorder="1" applyAlignment="1">
      <alignment vertical="center"/>
    </xf>
    <xf numFmtId="0" fontId="31" fillId="0" borderId="0" xfId="0" applyFont="1" applyAlignment="1">
      <alignment horizontal="left" wrapText="1"/>
    </xf>
    <xf numFmtId="165" fontId="2" fillId="0" borderId="20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43" fontId="2" fillId="0" borderId="2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1" fillId="0" borderId="1" xfId="0" applyNumberFormat="1" applyFont="1" applyBorder="1" applyAlignment="1">
      <alignment vertical="center"/>
    </xf>
    <xf numFmtId="0" fontId="32" fillId="0" borderId="2" xfId="0" applyFont="1" applyFill="1" applyBorder="1" applyAlignment="1">
      <alignment vertical="center"/>
    </xf>
    <xf numFmtId="43" fontId="2" fillId="0" borderId="21" xfId="0" applyNumberFormat="1" applyFont="1" applyBorder="1" applyAlignment="1">
      <alignment/>
    </xf>
    <xf numFmtId="43" fontId="2" fillId="0" borderId="17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45" xfId="0" applyFont="1" applyFill="1" applyBorder="1" applyAlignment="1">
      <alignment horizontal="left" wrapText="1"/>
    </xf>
    <xf numFmtId="165" fontId="15" fillId="0" borderId="45" xfId="18" applyNumberFormat="1" applyFont="1" applyFill="1" applyBorder="1" applyAlignment="1">
      <alignment horizontal="right" wrapText="1"/>
    </xf>
    <xf numFmtId="0" fontId="15" fillId="0" borderId="46" xfId="0" applyFont="1" applyFill="1" applyBorder="1" applyAlignment="1">
      <alignment horizontal="left" wrapText="1"/>
    </xf>
    <xf numFmtId="165" fontId="15" fillId="0" borderId="46" xfId="18" applyNumberFormat="1" applyFont="1" applyFill="1" applyBorder="1" applyAlignment="1">
      <alignment horizontal="right" wrapText="1"/>
    </xf>
    <xf numFmtId="0" fontId="15" fillId="0" borderId="47" xfId="0" applyFont="1" applyFill="1" applyBorder="1" applyAlignment="1">
      <alignment horizontal="left" wrapText="1"/>
    </xf>
    <xf numFmtId="165" fontId="15" fillId="0" borderId="47" xfId="18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5" fontId="1" fillId="0" borderId="1" xfId="18" applyNumberFormat="1" applyFont="1" applyBorder="1" applyAlignment="1">
      <alignment vertical="center"/>
    </xf>
    <xf numFmtId="165" fontId="0" fillId="0" borderId="0" xfId="0" applyNumberFormat="1" applyAlignment="1">
      <alignment/>
    </xf>
    <xf numFmtId="43" fontId="2" fillId="0" borderId="21" xfId="18" applyFont="1" applyBorder="1" applyAlignment="1">
      <alignment/>
    </xf>
    <xf numFmtId="43" fontId="2" fillId="0" borderId="17" xfId="18" applyFont="1" applyBorder="1" applyAlignment="1">
      <alignment/>
    </xf>
    <xf numFmtId="43" fontId="2" fillId="0" borderId="12" xfId="18" applyFont="1" applyBorder="1" applyAlignment="1">
      <alignment/>
    </xf>
    <xf numFmtId="43" fontId="1" fillId="0" borderId="1" xfId="18" applyFont="1" applyBorder="1" applyAlignment="1">
      <alignment vertical="center"/>
    </xf>
    <xf numFmtId="0" fontId="28" fillId="0" borderId="0" xfId="0" applyFont="1" applyAlignment="1">
      <alignment/>
    </xf>
    <xf numFmtId="165" fontId="28" fillId="0" borderId="0" xfId="0" applyNumberFormat="1" applyFont="1" applyAlignment="1">
      <alignment/>
    </xf>
    <xf numFmtId="0" fontId="28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21">
      <alignment/>
      <protection/>
    </xf>
    <xf numFmtId="0" fontId="15" fillId="0" borderId="13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/>
    </xf>
    <xf numFmtId="43" fontId="15" fillId="0" borderId="48" xfId="18" applyFont="1" applyFill="1" applyBorder="1" applyAlignment="1">
      <alignment horizontal="right" wrapText="1"/>
    </xf>
    <xf numFmtId="43" fontId="14" fillId="0" borderId="49" xfId="18" applyFont="1" applyFill="1" applyBorder="1" applyAlignment="1">
      <alignment horizontal="right" vertical="center" wrapText="1"/>
    </xf>
    <xf numFmtId="165" fontId="14" fillId="0" borderId="50" xfId="18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1" fillId="0" borderId="4" xfId="18" applyNumberFormat="1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65" fontId="2" fillId="0" borderId="51" xfId="18" applyNumberFormat="1" applyFont="1" applyBorder="1" applyAlignment="1">
      <alignment/>
    </xf>
    <xf numFmtId="165" fontId="2" fillId="0" borderId="52" xfId="18" applyNumberFormat="1" applyFont="1" applyBorder="1" applyAlignment="1">
      <alignment/>
    </xf>
    <xf numFmtId="165" fontId="2" fillId="0" borderId="18" xfId="18" applyNumberFormat="1" applyFont="1" applyBorder="1" applyAlignment="1">
      <alignment/>
    </xf>
    <xf numFmtId="165" fontId="2" fillId="0" borderId="23" xfId="18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Cartel1" xfId="20"/>
    <cellStyle name="Normale_Cartel2" xfId="21"/>
    <cellStyle name="Percent" xfId="22"/>
    <cellStyle name="Currency" xfId="23"/>
    <cellStyle name="Valuta (0)_TABELLE ANALISI scinf 2002_2003.xls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Servizi educativi 0-3 anni: nidi d'infanzia, micro-nidi e sezioni di nido aggregate a scuole dell'infanzia - a.s. 2005/2006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02_01'!$D$22:$D$30</c:f>
              <c:strCache/>
            </c:strRef>
          </c:cat>
          <c:val>
            <c:numRef>
              <c:f>'Tavola 02_01'!$E$22:$E$30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Sezioni a tempo pieno e part time nei nidi a gestione privata - a.s. 2005/2006</a:t>
            </a:r>
          </a:p>
        </c:rich>
      </c:tx>
      <c:layout>
        <c:manualLayout>
          <c:xMode val="factor"/>
          <c:yMode val="factor"/>
          <c:x val="-0.001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"/>
          <c:w val="0.71275"/>
          <c:h val="0.8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'Tavola 02_10'!$C$21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02_10'!$B$22:$B$30</c:f>
              <c:strCache/>
            </c:strRef>
          </c:cat>
          <c:val>
            <c:numRef>
              <c:f>'Tavola 02_10'!$C$22:$C$30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02_10'!$D$21</c:f>
              <c:strCache>
                <c:ptCount val="1"/>
                <c:pt idx="0">
                  <c:v>sezioni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02_10'!$B$22:$B$30</c:f>
              <c:strCache/>
            </c:strRef>
          </c:cat>
          <c:val>
            <c:numRef>
              <c:f>'Tavola 02_10'!$D$22:$D$30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5283848"/>
        <c:axId val="49119177"/>
      </c:bar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119177"/>
        <c:crosses val="autoZero"/>
        <c:auto val="1"/>
        <c:lblOffset val="100"/>
        <c:noMultiLvlLbl val="0"/>
      </c:catAx>
      <c:valAx>
        <c:axId val="49119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283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Servizi educativi - 0-3 anni: nidi d'infanzia, micro-nidi e sezioni di nido aggregate a scuole dell'infanzia pubblici - a.s. 2005/2006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02_02'!$B$21:$B$29</c:f>
              <c:strCache/>
            </c:strRef>
          </c:cat>
          <c:val>
            <c:numRef>
              <c:f>'Tavola 02_02'!$C$21:$C$29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Servizi educativi - 0-3 anni: nidi d'infanzia, micro-nidi e sezioni di nido aggregate a scuole dell'infanzia a gestione indiretta pubblica - a.s. 2005/2006</a:t>
            </a:r>
          </a:p>
        </c:rich>
      </c:tx>
      <c:layout/>
      <c:spPr>
        <a:noFill/>
        <a:ln>
          <a:noFill/>
        </a:ln>
      </c:spPr>
    </c:title>
    <c:view3D>
      <c:rotX val="15"/>
      <c:rotY val="1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02_03'!$D$27:$D$35</c:f>
              <c:strCache/>
            </c:strRef>
          </c:cat>
          <c:val>
            <c:numRef>
              <c:f>'Tavola 02_03'!$E$27:$E$35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11475266"/>
        <c:axId val="36168531"/>
      </c:bar3D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68531"/>
        <c:crosses val="autoZero"/>
        <c:auto val="1"/>
        <c:lblOffset val="100"/>
        <c:noMultiLvlLbl val="0"/>
      </c:catAx>
      <c:valAx>
        <c:axId val="36168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752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Servizi educativi 0-3 anni: nidi d'infanzia, micro-nidi e sezioni di nido aggregate a scuole dell'infanzia convenzionati con i Comuni - a.s. 20052006</a:t>
            </a:r>
          </a:p>
        </c:rich>
      </c:tx>
      <c:layout>
        <c:manualLayout>
          <c:xMode val="factor"/>
          <c:yMode val="factor"/>
          <c:x val="0.00725"/>
          <c:y val="0.022"/>
        </c:manualLayout>
      </c:layout>
      <c:spPr>
        <a:noFill/>
        <a:ln>
          <a:noFill/>
        </a:ln>
      </c:spPr>
    </c:title>
    <c:view3D>
      <c:rotX val="15"/>
      <c:rotY val="10"/>
      <c:depthPercent val="320"/>
      <c:rAngAx val="1"/>
    </c:view3D>
    <c:plotArea>
      <c:layout>
        <c:manualLayout>
          <c:xMode val="edge"/>
          <c:yMode val="edge"/>
          <c:x val="0"/>
          <c:y val="0.21375"/>
          <c:w val="1"/>
          <c:h val="0.74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02_04'!$B$20:$B$28</c:f>
              <c:strCache/>
            </c:strRef>
          </c:cat>
          <c:val>
            <c:numRef>
              <c:f>'Tavola 02_04'!$C$20:$C$28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gapWidth val="220"/>
        <c:gapDepth val="0"/>
        <c:shape val="box"/>
        <c:axId val="57081324"/>
        <c:axId val="43969869"/>
      </c:bar3D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69869"/>
        <c:crosses val="autoZero"/>
        <c:auto val="1"/>
        <c:lblOffset val="100"/>
        <c:noMultiLvlLbl val="0"/>
      </c:catAx>
      <c:valAx>
        <c:axId val="43969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813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Servizi educativi 0-3 anni: nidi d'infanzia, micro-nidi e sezioni di nido aggregate a scuole dell'infanzia a gestione privata - a.s. 2005/2006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993300"/>
              </a:solidFill>
            </c:spPr>
          </c:dP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99CC00"/>
              </a:solidFill>
            </c:spPr>
          </c:dPt>
          <c:cat>
            <c:strRef>
              <c:f>'Tavola 02_05'!$B$27:$B$35</c:f>
              <c:strCache/>
            </c:strRef>
          </c:cat>
          <c:val>
            <c:numRef>
              <c:f>'Tavola 02_05'!$C$27:$C$35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0184502"/>
        <c:axId val="4789607"/>
      </c:bar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89607"/>
        <c:crosses val="autoZero"/>
        <c:auto val="1"/>
        <c:lblOffset val="100"/>
        <c:noMultiLvlLbl val="0"/>
      </c:catAx>
      <c:valAx>
        <c:axId val="4789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845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Sezioni a tempo pieno e a tempo parziale nei nidi d'infanzia a gestione pubblica e privata in Emilia-Romagna - a.s. 2005/2006</a:t>
            </a:r>
          </a:p>
        </c:rich>
      </c:tx>
      <c:layout>
        <c:manualLayout>
          <c:xMode val="factor"/>
          <c:yMode val="factor"/>
          <c:x val="0.01225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77"/>
          <c:w val="0.7605"/>
          <c:h val="0.8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'Tavola 02_06'!$D$30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02_06'!$C$31:$C$39</c:f>
              <c:strCache/>
            </c:strRef>
          </c:cat>
          <c:val>
            <c:numRef>
              <c:f>'Tavola 02_06'!$D$31:$D$39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'Tavola 02_06'!$E$30</c:f>
              <c:strCache>
                <c:ptCount val="1"/>
                <c:pt idx="0">
                  <c:v>Sezioni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02_06'!$C$31:$C$39</c:f>
              <c:strCache/>
            </c:strRef>
          </c:cat>
          <c:val>
            <c:numRef>
              <c:f>'Tavola 02_06'!$E$31:$E$39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43106464"/>
        <c:axId val="52413857"/>
      </c:bar3D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52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413857"/>
        <c:crosses val="autoZero"/>
        <c:auto val="1"/>
        <c:lblOffset val="100"/>
        <c:noMultiLvlLbl val="0"/>
      </c:catAx>
      <c:valAx>
        <c:axId val="52413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10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00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00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Sezioni a tempo pieno e part time nei nidi a gestione pubblica - a.s. 2005/2006</a:t>
            </a:r>
          </a:p>
        </c:rich>
      </c:tx>
      <c:layout>
        <c:manualLayout>
          <c:xMode val="factor"/>
          <c:yMode val="factor"/>
          <c:x val="-0.012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625"/>
          <c:w val="0.6622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'Tavola 02_07'!$C$21</c:f>
              <c:strCache>
                <c:ptCount val="1"/>
                <c:pt idx="0">
                  <c:v>N. sezioni a tempo pieno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02_07'!$B$22:$B$30</c:f>
              <c:strCache/>
            </c:strRef>
          </c:cat>
          <c:val>
            <c:numRef>
              <c:f>'Tavola 02_07'!$C$22:$C$30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02_07'!$D$21</c:f>
              <c:strCache>
                <c:ptCount val="1"/>
                <c:pt idx="0">
                  <c:v>N. sezioni a tempo parziale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02_07'!$B$22:$B$30</c:f>
              <c:strCache/>
            </c:strRef>
          </c:cat>
          <c:val>
            <c:numRef>
              <c:f>'Tavola 02_07'!$D$22:$D$30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962666"/>
        <c:axId val="17663995"/>
      </c:barChart>
      <c:catAx>
        <c:axId val="196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63995"/>
        <c:crosses val="autoZero"/>
        <c:auto val="1"/>
        <c:lblOffset val="100"/>
        <c:noMultiLvlLbl val="0"/>
      </c:catAx>
      <c:valAx>
        <c:axId val="17663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2666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FFFFFF"/>
          </a:solidFill>
          <a:prstDash val="sysDot"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Sezioni a tempo pieno e part time nei nidi a gestione pubblica  indiretta - a.s. 2005/2006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'Tavola 02_08'!$C$18</c:f>
              <c:strCache>
                <c:ptCount val="1"/>
                <c:pt idx="0">
                  <c:v>N. sezioni a tempo pieno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02_08'!$B$19:$B$27</c:f>
              <c:strCache/>
            </c:strRef>
          </c:cat>
          <c:val>
            <c:numRef>
              <c:f>'Tavola 02_08'!$C$19:$C$27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'Tavola 02_08'!$D$18</c:f>
              <c:strCache>
                <c:ptCount val="1"/>
                <c:pt idx="0">
                  <c:v>N. sezioni a tempo parziale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02_08'!$B$19:$B$27</c:f>
              <c:strCache/>
            </c:strRef>
          </c:cat>
          <c:val>
            <c:numRef>
              <c:f>'Tavola 02_08'!$D$19:$D$27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24758228"/>
        <c:axId val="21497461"/>
      </c:bar3DChart>
      <c:catAx>
        <c:axId val="24758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497461"/>
        <c:crosses val="autoZero"/>
        <c:auto val="1"/>
        <c:lblOffset val="100"/>
        <c:noMultiLvlLbl val="0"/>
      </c:catAx>
      <c:valAx>
        <c:axId val="21497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58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3175">
          <a:solidFill>
            <a:srgbClr val="FFFFFF"/>
          </a:solidFill>
          <a:prstDash val="sysDot"/>
        </a:ln>
      </c:spPr>
      <c:thickness val="0"/>
    </c:sideWall>
    <c:backWall>
      <c:spPr>
        <a:solidFill>
          <a:srgbClr val="FFFFFF"/>
        </a:solidFill>
        <a:ln w="3175">
          <a:solidFill>
            <a:srgbClr val="FFFFFF"/>
          </a:solidFill>
          <a:prstDash val="sysDot"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Sezioni a tempo pieno e part time nei nidi a gestione privata in convenzione - a.s. 2005/2006</a:t>
            </a:r>
          </a:p>
        </c:rich>
      </c:tx>
      <c:layout>
        <c:manualLayout>
          <c:xMode val="factor"/>
          <c:yMode val="factor"/>
          <c:x val="-0.003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875"/>
          <c:w val="0.63025"/>
          <c:h val="0.8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'Tavola 02_09 '!$C$17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02_09 '!$B$18:$B$26</c:f>
              <c:strCache/>
            </c:strRef>
          </c:cat>
          <c:val>
            <c:numRef>
              <c:f>'Tavola 02_09 '!$C$18:$C$26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02_09 '!$D$17</c:f>
              <c:strCache>
                <c:ptCount val="1"/>
                <c:pt idx="0">
                  <c:v>Sezioni a part time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02_09 '!$B$18:$B$26</c:f>
              <c:strCache/>
            </c:strRef>
          </c:cat>
          <c:val>
            <c:numRef>
              <c:f>'Tavola 02_09 '!$D$18:$D$26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9259422"/>
        <c:axId val="63572751"/>
      </c:bar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572751"/>
        <c:crosses val="autoZero"/>
        <c:auto val="1"/>
        <c:lblOffset val="100"/>
        <c:noMultiLvlLbl val="0"/>
      </c:catAx>
      <c:valAx>
        <c:axId val="63572751"/>
        <c:scaling>
          <c:orientation val="minMax"/>
        </c:scaling>
        <c:axPos val="l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25942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20</xdr:row>
      <xdr:rowOff>0</xdr:rowOff>
    </xdr:from>
    <xdr:to>
      <xdr:col>6</xdr:col>
      <xdr:colOff>571500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466725" y="4219575"/>
        <a:ext cx="51244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123825</xdr:rowOff>
    </xdr:from>
    <xdr:to>
      <xdr:col>7</xdr:col>
      <xdr:colOff>57150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0" y="3895725"/>
        <a:ext cx="52387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19</xdr:row>
      <xdr:rowOff>0</xdr:rowOff>
    </xdr:from>
    <xdr:to>
      <xdr:col>6</xdr:col>
      <xdr:colOff>609600</xdr:colOff>
      <xdr:row>38</xdr:row>
      <xdr:rowOff>123825</xdr:rowOff>
    </xdr:to>
    <xdr:graphicFrame>
      <xdr:nvGraphicFramePr>
        <xdr:cNvPr id="1" name="Chart 28"/>
        <xdr:cNvGraphicFramePr/>
      </xdr:nvGraphicFramePr>
      <xdr:xfrm>
        <a:off x="704850" y="3990975"/>
        <a:ext cx="47910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19</xdr:row>
      <xdr:rowOff>0</xdr:rowOff>
    </xdr:from>
    <xdr:to>
      <xdr:col>7</xdr:col>
      <xdr:colOff>295275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66700" y="3943350"/>
        <a:ext cx="57245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123825</xdr:rowOff>
    </xdr:from>
    <xdr:to>
      <xdr:col>7</xdr:col>
      <xdr:colOff>561975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6675" y="3667125"/>
        <a:ext cx="61245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17</xdr:row>
      <xdr:rowOff>19050</xdr:rowOff>
    </xdr:from>
    <xdr:to>
      <xdr:col>7</xdr:col>
      <xdr:colOff>19050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647700" y="3838575"/>
        <a:ext cx="5029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6</xdr:col>
      <xdr:colOff>581025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4105275"/>
        <a:ext cx="52863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38100</xdr:rowOff>
    </xdr:from>
    <xdr:to>
      <xdr:col>7</xdr:col>
      <xdr:colOff>28575</xdr:colOff>
      <xdr:row>44</xdr:row>
      <xdr:rowOff>123825</xdr:rowOff>
    </xdr:to>
    <xdr:graphicFrame>
      <xdr:nvGraphicFramePr>
        <xdr:cNvPr id="1" name="Chart 2"/>
        <xdr:cNvGraphicFramePr/>
      </xdr:nvGraphicFramePr>
      <xdr:xfrm>
        <a:off x="9525" y="4238625"/>
        <a:ext cx="52292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19050</xdr:rowOff>
    </xdr:from>
    <xdr:to>
      <xdr:col>7</xdr:col>
      <xdr:colOff>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8100" y="3971925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85725</xdr:rowOff>
    </xdr:from>
    <xdr:to>
      <xdr:col>6</xdr:col>
      <xdr:colOff>600075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28575" y="3914775"/>
        <a:ext cx="5362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8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14.421875" style="19" customWidth="1"/>
    <col min="2" max="2" width="54.57421875" style="19" customWidth="1"/>
    <col min="3" max="16384" width="8.8515625" style="19" customWidth="1"/>
  </cols>
  <sheetData>
    <row r="1" spans="1:2" s="233" customFormat="1" ht="18" customHeight="1">
      <c r="A1" s="239" t="s">
        <v>62</v>
      </c>
      <c r="B1" s="239"/>
    </row>
    <row r="2" spans="1:2" s="233" customFormat="1" ht="30.75" customHeight="1">
      <c r="A2" s="240" t="s">
        <v>61</v>
      </c>
      <c r="B2" s="240"/>
    </row>
    <row r="3" spans="1:2" s="234" customFormat="1" ht="24.75" customHeight="1">
      <c r="A3" s="241" t="s">
        <v>28</v>
      </c>
      <c r="B3" s="242"/>
    </row>
    <row r="4" spans="1:2" s="14" customFormat="1" ht="62.25" customHeight="1">
      <c r="A4" s="235" t="s">
        <v>440</v>
      </c>
      <c r="B4" s="20" t="s">
        <v>394</v>
      </c>
    </row>
    <row r="5" spans="1:2" s="25" customFormat="1" ht="37.5" customHeight="1">
      <c r="A5" s="25" t="s">
        <v>440</v>
      </c>
      <c r="B5" s="236" t="s">
        <v>395</v>
      </c>
    </row>
    <row r="6" spans="1:2" s="25" customFormat="1" ht="37.5" customHeight="1">
      <c r="A6" s="25" t="s">
        <v>440</v>
      </c>
      <c r="B6" s="236" t="s">
        <v>423</v>
      </c>
    </row>
    <row r="7" spans="1:2" s="25" customFormat="1" ht="37.5" customHeight="1">
      <c r="A7" s="25" t="s">
        <v>440</v>
      </c>
      <c r="B7" s="236" t="s">
        <v>412</v>
      </c>
    </row>
    <row r="8" spans="1:2" s="25" customFormat="1" ht="37.5" customHeight="1">
      <c r="A8" s="25" t="s">
        <v>440</v>
      </c>
      <c r="B8" s="236" t="s">
        <v>410</v>
      </c>
    </row>
    <row r="9" spans="1:2" s="25" customFormat="1" ht="37.5" customHeight="1">
      <c r="A9" s="25" t="s">
        <v>440</v>
      </c>
      <c r="B9" s="236" t="s">
        <v>407</v>
      </c>
    </row>
    <row r="10" spans="1:2" s="25" customFormat="1" ht="37.5" customHeight="1">
      <c r="A10" s="25" t="s">
        <v>440</v>
      </c>
      <c r="B10" s="236" t="s">
        <v>405</v>
      </c>
    </row>
    <row r="11" spans="1:2" s="25" customFormat="1" ht="37.5" customHeight="1">
      <c r="A11" s="25" t="s">
        <v>440</v>
      </c>
      <c r="B11" s="236" t="s">
        <v>413</v>
      </c>
    </row>
    <row r="12" spans="1:2" s="25" customFormat="1" ht="37.5" customHeight="1">
      <c r="A12" s="25" t="s">
        <v>440</v>
      </c>
      <c r="B12" s="236" t="s">
        <v>422</v>
      </c>
    </row>
    <row r="13" spans="1:2" s="25" customFormat="1" ht="37.5" customHeight="1">
      <c r="A13" s="25" t="s">
        <v>440</v>
      </c>
      <c r="B13" s="236" t="s">
        <v>421</v>
      </c>
    </row>
    <row r="15" spans="1:2" s="14" customFormat="1" ht="55.5" customHeight="1">
      <c r="A15" s="235" t="s">
        <v>441</v>
      </c>
      <c r="B15" s="20" t="s">
        <v>375</v>
      </c>
    </row>
    <row r="16" spans="1:2" s="25" customFormat="1" ht="37.5" customHeight="1">
      <c r="A16" s="25" t="s">
        <v>441</v>
      </c>
      <c r="B16" s="236" t="s">
        <v>372</v>
      </c>
    </row>
    <row r="17" spans="1:2" s="25" customFormat="1" ht="37.5" customHeight="1">
      <c r="A17" s="25" t="s">
        <v>441</v>
      </c>
      <c r="B17" s="236" t="s">
        <v>373</v>
      </c>
    </row>
    <row r="18" spans="1:2" s="25" customFormat="1" ht="37.5" customHeight="1">
      <c r="A18" s="25" t="s">
        <v>441</v>
      </c>
      <c r="B18" s="236" t="s">
        <v>396</v>
      </c>
    </row>
    <row r="19" spans="1:2" s="25" customFormat="1" ht="37.5" customHeight="1">
      <c r="A19" s="25" t="s">
        <v>441</v>
      </c>
      <c r="B19" s="236" t="s">
        <v>411</v>
      </c>
    </row>
    <row r="20" spans="1:2" s="25" customFormat="1" ht="37.5" customHeight="1">
      <c r="A20" s="25" t="s">
        <v>441</v>
      </c>
      <c r="B20" s="236" t="s">
        <v>406</v>
      </c>
    </row>
    <row r="21" spans="1:2" s="25" customFormat="1" ht="37.5" customHeight="1">
      <c r="A21" s="25" t="s">
        <v>441</v>
      </c>
      <c r="B21" s="236" t="s">
        <v>401</v>
      </c>
    </row>
    <row r="22" spans="1:2" s="25" customFormat="1" ht="37.5" customHeight="1">
      <c r="A22" s="25" t="s">
        <v>441</v>
      </c>
      <c r="B22" s="236" t="s">
        <v>414</v>
      </c>
    </row>
    <row r="23" spans="1:2" s="25" customFormat="1" ht="37.5" customHeight="1">
      <c r="A23" s="25" t="s">
        <v>441</v>
      </c>
      <c r="B23" s="236" t="s">
        <v>415</v>
      </c>
    </row>
    <row r="24" spans="1:2" s="25" customFormat="1" ht="37.5" customHeight="1">
      <c r="A24" s="25" t="s">
        <v>441</v>
      </c>
      <c r="B24" s="236" t="s">
        <v>425</v>
      </c>
    </row>
    <row r="27" spans="1:2" s="14" customFormat="1" ht="55.5" customHeight="1">
      <c r="A27" s="235" t="s">
        <v>442</v>
      </c>
      <c r="B27" s="20" t="s">
        <v>364</v>
      </c>
    </row>
    <row r="28" spans="1:2" s="25" customFormat="1" ht="37.5" customHeight="1">
      <c r="A28" s="25" t="s">
        <v>442</v>
      </c>
      <c r="B28" s="236" t="s">
        <v>362</v>
      </c>
    </row>
    <row r="29" spans="1:2" s="25" customFormat="1" ht="37.5" customHeight="1">
      <c r="A29" s="25" t="s">
        <v>442</v>
      </c>
      <c r="B29" s="236" t="s">
        <v>368</v>
      </c>
    </row>
    <row r="30" spans="1:2" s="25" customFormat="1" ht="37.5" customHeight="1">
      <c r="A30" s="25" t="s">
        <v>442</v>
      </c>
      <c r="B30" s="236" t="s">
        <v>397</v>
      </c>
    </row>
    <row r="31" spans="1:2" s="25" customFormat="1" ht="37.5" customHeight="1">
      <c r="A31" s="25" t="s">
        <v>442</v>
      </c>
      <c r="B31" s="236" t="s">
        <v>424</v>
      </c>
    </row>
    <row r="32" spans="1:2" s="25" customFormat="1" ht="37.5" customHeight="1">
      <c r="A32" s="25" t="s">
        <v>442</v>
      </c>
      <c r="B32" s="236" t="s">
        <v>356</v>
      </c>
    </row>
    <row r="33" spans="1:2" s="25" customFormat="1" ht="37.5" customHeight="1">
      <c r="A33" s="25" t="s">
        <v>442</v>
      </c>
      <c r="B33" s="236" t="s">
        <v>402</v>
      </c>
    </row>
    <row r="34" spans="1:2" s="25" customFormat="1" ht="37.5" customHeight="1">
      <c r="A34" s="25" t="s">
        <v>442</v>
      </c>
      <c r="B34" s="236" t="s">
        <v>354</v>
      </c>
    </row>
    <row r="35" spans="1:2" s="25" customFormat="1" ht="37.5" customHeight="1">
      <c r="A35" s="25" t="s">
        <v>442</v>
      </c>
      <c r="B35" s="236" t="s">
        <v>416</v>
      </c>
    </row>
    <row r="36" spans="1:2" s="25" customFormat="1" ht="37.5" customHeight="1">
      <c r="A36" s="25" t="s">
        <v>442</v>
      </c>
      <c r="B36" s="236" t="s">
        <v>427</v>
      </c>
    </row>
    <row r="39" spans="1:2" s="14" customFormat="1" ht="55.5" customHeight="1">
      <c r="A39" s="235" t="s">
        <v>443</v>
      </c>
      <c r="B39" s="20" t="s">
        <v>359</v>
      </c>
    </row>
    <row r="40" spans="1:2" s="25" customFormat="1" ht="37.5" customHeight="1">
      <c r="A40" s="25" t="s">
        <v>443</v>
      </c>
      <c r="B40" s="236" t="s">
        <v>369</v>
      </c>
    </row>
    <row r="41" spans="1:2" s="25" customFormat="1" ht="37.5" customHeight="1">
      <c r="A41" s="25" t="s">
        <v>443</v>
      </c>
      <c r="B41" s="236" t="s">
        <v>370</v>
      </c>
    </row>
    <row r="42" spans="1:2" s="25" customFormat="1" ht="37.5" customHeight="1">
      <c r="A42" s="25" t="s">
        <v>443</v>
      </c>
      <c r="B42" s="236" t="s">
        <v>398</v>
      </c>
    </row>
    <row r="43" spans="1:2" s="25" customFormat="1" ht="37.5" customHeight="1">
      <c r="A43" s="25" t="s">
        <v>443</v>
      </c>
      <c r="B43" s="236" t="s">
        <v>400</v>
      </c>
    </row>
    <row r="44" spans="1:2" s="25" customFormat="1" ht="37.5" customHeight="1">
      <c r="A44" s="25" t="s">
        <v>443</v>
      </c>
      <c r="B44" s="236" t="s">
        <v>358</v>
      </c>
    </row>
    <row r="45" spans="1:2" s="25" customFormat="1" ht="37.5" customHeight="1">
      <c r="A45" s="25" t="s">
        <v>443</v>
      </c>
      <c r="B45" s="236" t="s">
        <v>403</v>
      </c>
    </row>
    <row r="46" spans="1:2" s="25" customFormat="1" ht="37.5" customHeight="1">
      <c r="A46" s="25" t="s">
        <v>443</v>
      </c>
      <c r="B46" s="236" t="s">
        <v>357</v>
      </c>
    </row>
    <row r="47" spans="1:2" s="25" customFormat="1" ht="37.5" customHeight="1">
      <c r="A47" s="25" t="s">
        <v>443</v>
      </c>
      <c r="B47" s="236" t="s">
        <v>417</v>
      </c>
    </row>
    <row r="48" spans="1:2" s="25" customFormat="1" ht="37.5" customHeight="1">
      <c r="A48" s="25" t="s">
        <v>443</v>
      </c>
      <c r="B48" s="236" t="s">
        <v>429</v>
      </c>
    </row>
    <row r="50" spans="1:2" s="14" customFormat="1" ht="55.5" customHeight="1">
      <c r="A50" s="235" t="s">
        <v>444</v>
      </c>
      <c r="B50" s="20" t="s">
        <v>353</v>
      </c>
    </row>
    <row r="51" spans="1:2" s="25" customFormat="1" ht="37.5" customHeight="1">
      <c r="A51" s="25" t="s">
        <v>444</v>
      </c>
      <c r="B51" s="236" t="s">
        <v>366</v>
      </c>
    </row>
    <row r="52" spans="1:2" s="25" customFormat="1" ht="37.5" customHeight="1">
      <c r="A52" s="25" t="s">
        <v>444</v>
      </c>
      <c r="B52" s="236" t="s">
        <v>367</v>
      </c>
    </row>
    <row r="53" spans="1:2" s="25" customFormat="1" ht="37.5" customHeight="1">
      <c r="A53" s="25" t="s">
        <v>444</v>
      </c>
      <c r="B53" s="236" t="s">
        <v>399</v>
      </c>
    </row>
    <row r="54" spans="1:2" s="25" customFormat="1" ht="37.5" customHeight="1">
      <c r="A54" s="25" t="s">
        <v>444</v>
      </c>
      <c r="B54" s="236" t="s">
        <v>408</v>
      </c>
    </row>
    <row r="55" spans="1:2" s="25" customFormat="1" ht="37.5" customHeight="1">
      <c r="A55" s="25" t="s">
        <v>444</v>
      </c>
      <c r="B55" s="236" t="s">
        <v>361</v>
      </c>
    </row>
    <row r="56" spans="1:2" s="25" customFormat="1" ht="37.5" customHeight="1">
      <c r="A56" s="25" t="s">
        <v>444</v>
      </c>
      <c r="B56" s="236" t="s">
        <v>409</v>
      </c>
    </row>
    <row r="57" spans="1:2" s="25" customFormat="1" ht="37.5" customHeight="1">
      <c r="A57" s="25" t="s">
        <v>444</v>
      </c>
      <c r="B57" s="236" t="s">
        <v>360</v>
      </c>
    </row>
    <row r="58" spans="1:2" s="25" customFormat="1" ht="37.5" customHeight="1">
      <c r="A58" s="25" t="s">
        <v>444</v>
      </c>
      <c r="B58" s="236" t="s">
        <v>419</v>
      </c>
    </row>
    <row r="59" spans="1:2" s="25" customFormat="1" ht="37.5" customHeight="1">
      <c r="A59" s="25" t="s">
        <v>444</v>
      </c>
      <c r="B59" s="236" t="s">
        <v>420</v>
      </c>
    </row>
    <row r="61" spans="1:2" s="14" customFormat="1" ht="55.5" customHeight="1">
      <c r="A61" s="235" t="s">
        <v>447</v>
      </c>
      <c r="B61" s="20" t="s">
        <v>448</v>
      </c>
    </row>
    <row r="62" spans="1:2" s="25" customFormat="1" ht="37.5" customHeight="1">
      <c r="A62" s="25" t="s">
        <v>447</v>
      </c>
      <c r="B62" s="236" t="s">
        <v>49</v>
      </c>
    </row>
    <row r="63" spans="1:2" s="25" customFormat="1" ht="37.5" customHeight="1">
      <c r="A63" s="25" t="s">
        <v>447</v>
      </c>
      <c r="B63" s="236" t="s">
        <v>50</v>
      </c>
    </row>
    <row r="64" spans="1:2" s="25" customFormat="1" ht="37.5" customHeight="1">
      <c r="A64" s="25" t="s">
        <v>447</v>
      </c>
      <c r="B64" s="236" t="s">
        <v>82</v>
      </c>
    </row>
    <row r="65" spans="1:2" s="25" customFormat="1" ht="37.5" customHeight="1">
      <c r="A65" s="25" t="s">
        <v>447</v>
      </c>
      <c r="B65" s="236" t="s">
        <v>84</v>
      </c>
    </row>
    <row r="66" spans="1:2" s="25" customFormat="1" ht="37.5" customHeight="1">
      <c r="A66" s="25" t="s">
        <v>447</v>
      </c>
      <c r="B66" s="236" t="s">
        <v>90</v>
      </c>
    </row>
    <row r="67" spans="1:2" s="25" customFormat="1" ht="37.5" customHeight="1">
      <c r="A67" s="25" t="s">
        <v>447</v>
      </c>
      <c r="B67" s="236" t="s">
        <v>38</v>
      </c>
    </row>
    <row r="68" spans="1:2" s="25" customFormat="1" ht="37.5" customHeight="1">
      <c r="A68" s="25" t="s">
        <v>447</v>
      </c>
      <c r="B68" s="236" t="s">
        <v>39</v>
      </c>
    </row>
    <row r="69" spans="1:2" s="25" customFormat="1" ht="37.5" customHeight="1">
      <c r="A69" s="25" t="s">
        <v>447</v>
      </c>
      <c r="B69" s="236" t="s">
        <v>4</v>
      </c>
    </row>
    <row r="70" spans="1:2" s="25" customFormat="1" ht="37.5" customHeight="1">
      <c r="A70" s="25" t="s">
        <v>447</v>
      </c>
      <c r="B70" s="236" t="s">
        <v>5</v>
      </c>
    </row>
    <row r="72" spans="1:2" s="14" customFormat="1" ht="55.5" customHeight="1">
      <c r="A72" s="235" t="s">
        <v>446</v>
      </c>
      <c r="B72" s="20" t="s">
        <v>457</v>
      </c>
    </row>
    <row r="73" spans="1:2" s="25" customFormat="1" ht="37.5" customHeight="1">
      <c r="A73" s="25" t="s">
        <v>446</v>
      </c>
      <c r="B73" s="236" t="s">
        <v>451</v>
      </c>
    </row>
    <row r="74" spans="1:2" s="25" customFormat="1" ht="37.5" customHeight="1">
      <c r="A74" s="25" t="s">
        <v>446</v>
      </c>
      <c r="B74" s="236" t="s">
        <v>450</v>
      </c>
    </row>
    <row r="75" spans="1:2" s="25" customFormat="1" ht="37.5" customHeight="1">
      <c r="A75" s="25" t="s">
        <v>446</v>
      </c>
      <c r="B75" s="236" t="s">
        <v>449</v>
      </c>
    </row>
    <row r="76" spans="1:2" s="25" customFormat="1" ht="37.5" customHeight="1">
      <c r="A76" s="25" t="s">
        <v>446</v>
      </c>
      <c r="B76" s="236" t="s">
        <v>445</v>
      </c>
    </row>
    <row r="77" spans="1:2" s="25" customFormat="1" ht="37.5" customHeight="1">
      <c r="A77" s="25" t="s">
        <v>446</v>
      </c>
      <c r="B77" s="236" t="s">
        <v>452</v>
      </c>
    </row>
    <row r="78" spans="1:2" s="25" customFormat="1" ht="37.5" customHeight="1">
      <c r="A78" s="25" t="s">
        <v>446</v>
      </c>
      <c r="B78" s="236" t="s">
        <v>453</v>
      </c>
    </row>
    <row r="79" spans="1:2" s="25" customFormat="1" ht="37.5" customHeight="1">
      <c r="A79" s="25" t="s">
        <v>446</v>
      </c>
      <c r="B79" s="236" t="s">
        <v>454</v>
      </c>
    </row>
    <row r="80" spans="1:2" s="25" customFormat="1" ht="37.5" customHeight="1">
      <c r="A80" s="25" t="s">
        <v>446</v>
      </c>
      <c r="B80" s="236" t="s">
        <v>455</v>
      </c>
    </row>
    <row r="81" spans="1:2" s="25" customFormat="1" ht="37.5" customHeight="1">
      <c r="A81" s="25" t="s">
        <v>446</v>
      </c>
      <c r="B81" s="236" t="s">
        <v>456</v>
      </c>
    </row>
    <row r="83" spans="1:2" s="14" customFormat="1" ht="55.5" customHeight="1">
      <c r="A83" s="235" t="s">
        <v>462</v>
      </c>
      <c r="B83" s="20" t="s">
        <v>29</v>
      </c>
    </row>
    <row r="84" spans="1:2" s="25" customFormat="1" ht="37.5" customHeight="1">
      <c r="A84" s="25" t="s">
        <v>462</v>
      </c>
      <c r="B84" s="236" t="s">
        <v>463</v>
      </c>
    </row>
    <row r="85" spans="1:2" s="25" customFormat="1" ht="37.5" customHeight="1">
      <c r="A85" s="25" t="s">
        <v>462</v>
      </c>
      <c r="B85" s="236" t="s">
        <v>470</v>
      </c>
    </row>
    <row r="86" spans="1:2" s="25" customFormat="1" ht="37.5" customHeight="1">
      <c r="A86" s="25" t="s">
        <v>462</v>
      </c>
      <c r="B86" s="236" t="s">
        <v>479</v>
      </c>
    </row>
    <row r="87" spans="1:2" s="25" customFormat="1" ht="37.5" customHeight="1">
      <c r="A87" s="25" t="s">
        <v>462</v>
      </c>
      <c r="B87" s="236" t="s">
        <v>480</v>
      </c>
    </row>
    <row r="88" spans="1:2" s="25" customFormat="1" ht="37.5" customHeight="1">
      <c r="A88" s="25" t="s">
        <v>462</v>
      </c>
      <c r="B88" s="236" t="s">
        <v>482</v>
      </c>
    </row>
    <row r="89" spans="1:2" s="25" customFormat="1" ht="37.5" customHeight="1">
      <c r="A89" s="25" t="s">
        <v>462</v>
      </c>
      <c r="B89" s="236" t="s">
        <v>486</v>
      </c>
    </row>
    <row r="90" spans="1:2" s="25" customFormat="1" ht="37.5" customHeight="1">
      <c r="A90" s="25" t="s">
        <v>462</v>
      </c>
      <c r="B90" s="236" t="s">
        <v>489</v>
      </c>
    </row>
    <row r="91" spans="1:2" s="25" customFormat="1" ht="37.5" customHeight="1">
      <c r="A91" s="25" t="s">
        <v>462</v>
      </c>
      <c r="B91" s="236" t="s">
        <v>490</v>
      </c>
    </row>
    <row r="92" spans="1:2" s="25" customFormat="1" ht="37.5" customHeight="1">
      <c r="A92" s="25" t="s">
        <v>462</v>
      </c>
      <c r="B92" s="236" t="s">
        <v>10</v>
      </c>
    </row>
    <row r="94" spans="1:2" s="14" customFormat="1" ht="55.5" customHeight="1">
      <c r="A94" s="235" t="s">
        <v>467</v>
      </c>
      <c r="B94" s="20" t="s">
        <v>45</v>
      </c>
    </row>
    <row r="95" spans="1:2" s="25" customFormat="1" ht="49.5" customHeight="1">
      <c r="A95" s="25" t="s">
        <v>467</v>
      </c>
      <c r="B95" s="236" t="s">
        <v>465</v>
      </c>
    </row>
    <row r="96" spans="1:2" s="25" customFormat="1" ht="49.5" customHeight="1">
      <c r="A96" s="25" t="s">
        <v>467</v>
      </c>
      <c r="B96" s="236" t="s">
        <v>471</v>
      </c>
    </row>
    <row r="97" spans="1:2" s="25" customFormat="1" ht="49.5" customHeight="1">
      <c r="A97" s="25" t="s">
        <v>467</v>
      </c>
      <c r="B97" s="236" t="s">
        <v>475</v>
      </c>
    </row>
    <row r="98" spans="1:2" s="25" customFormat="1" ht="49.5" customHeight="1">
      <c r="A98" s="25" t="s">
        <v>467</v>
      </c>
      <c r="B98" s="236" t="s">
        <v>476</v>
      </c>
    </row>
    <row r="99" spans="1:2" s="25" customFormat="1" ht="49.5" customHeight="1">
      <c r="A99" s="25" t="s">
        <v>467</v>
      </c>
      <c r="B99" s="236" t="s">
        <v>483</v>
      </c>
    </row>
    <row r="100" spans="1:2" s="25" customFormat="1" ht="49.5" customHeight="1">
      <c r="A100" s="25" t="s">
        <v>467</v>
      </c>
      <c r="B100" s="236" t="s">
        <v>487</v>
      </c>
    </row>
    <row r="101" spans="1:2" s="25" customFormat="1" ht="49.5" customHeight="1">
      <c r="A101" s="25" t="s">
        <v>467</v>
      </c>
      <c r="B101" s="236" t="s">
        <v>0</v>
      </c>
    </row>
    <row r="102" spans="1:2" s="25" customFormat="1" ht="49.5" customHeight="1">
      <c r="A102" s="25" t="s">
        <v>467</v>
      </c>
      <c r="B102" s="236" t="s">
        <v>11</v>
      </c>
    </row>
    <row r="103" spans="1:2" s="25" customFormat="1" ht="49.5" customHeight="1">
      <c r="A103" s="25" t="s">
        <v>467</v>
      </c>
      <c r="B103" s="236" t="s">
        <v>12</v>
      </c>
    </row>
    <row r="105" spans="1:2" s="14" customFormat="1" ht="55.5" customHeight="1">
      <c r="A105" s="235" t="s">
        <v>468</v>
      </c>
      <c r="B105" s="20" t="s">
        <v>48</v>
      </c>
    </row>
    <row r="106" spans="1:2" s="25" customFormat="1" ht="49.5" customHeight="1">
      <c r="A106" s="25" t="s">
        <v>468</v>
      </c>
      <c r="B106" s="236" t="s">
        <v>466</v>
      </c>
    </row>
    <row r="107" spans="1:2" s="25" customFormat="1" ht="49.5" customHeight="1">
      <c r="A107" s="25" t="s">
        <v>468</v>
      </c>
      <c r="B107" s="236" t="s">
        <v>473</v>
      </c>
    </row>
    <row r="108" spans="1:2" s="25" customFormat="1" ht="49.5" customHeight="1">
      <c r="A108" s="25" t="s">
        <v>468</v>
      </c>
      <c r="B108" s="236" t="s">
        <v>477</v>
      </c>
    </row>
    <row r="109" spans="1:2" s="25" customFormat="1" ht="49.5" customHeight="1">
      <c r="A109" s="25" t="s">
        <v>468</v>
      </c>
      <c r="B109" s="236" t="s">
        <v>478</v>
      </c>
    </row>
    <row r="110" spans="1:2" s="25" customFormat="1" ht="49.5" customHeight="1">
      <c r="A110" s="25" t="s">
        <v>468</v>
      </c>
      <c r="B110" s="236" t="s">
        <v>484</v>
      </c>
    </row>
    <row r="111" spans="1:2" s="25" customFormat="1" ht="49.5" customHeight="1">
      <c r="A111" s="25" t="s">
        <v>468</v>
      </c>
      <c r="B111" s="236" t="s">
        <v>488</v>
      </c>
    </row>
    <row r="112" spans="1:2" s="25" customFormat="1" ht="49.5" customHeight="1">
      <c r="A112" s="25" t="s">
        <v>468</v>
      </c>
      <c r="B112" s="236" t="s">
        <v>1</v>
      </c>
    </row>
    <row r="113" spans="1:2" s="25" customFormat="1" ht="49.5" customHeight="1">
      <c r="A113" s="25" t="s">
        <v>468</v>
      </c>
      <c r="B113" s="236" t="s">
        <v>2</v>
      </c>
    </row>
    <row r="114" spans="1:2" s="25" customFormat="1" ht="49.5" customHeight="1">
      <c r="A114" s="25" t="s">
        <v>468</v>
      </c>
      <c r="B114" s="236" t="s">
        <v>3</v>
      </c>
    </row>
    <row r="116" spans="1:2" s="14" customFormat="1" ht="55.5" customHeight="1">
      <c r="A116" s="235" t="s">
        <v>9</v>
      </c>
      <c r="B116" s="20" t="s">
        <v>44</v>
      </c>
    </row>
    <row r="117" spans="1:2" s="25" customFormat="1" ht="49.5" customHeight="1">
      <c r="A117" s="25" t="s">
        <v>9</v>
      </c>
      <c r="B117" s="236" t="s">
        <v>16</v>
      </c>
    </row>
    <row r="118" spans="1:2" s="25" customFormat="1" ht="49.5" customHeight="1">
      <c r="A118" s="25" t="s">
        <v>9</v>
      </c>
      <c r="B118" s="236" t="s">
        <v>17</v>
      </c>
    </row>
    <row r="119" spans="1:2" s="25" customFormat="1" ht="49.5" customHeight="1">
      <c r="A119" s="25" t="s">
        <v>9</v>
      </c>
      <c r="B119" s="236" t="s">
        <v>18</v>
      </c>
    </row>
    <row r="120" spans="1:2" s="25" customFormat="1" ht="49.5" customHeight="1">
      <c r="A120" s="25" t="s">
        <v>9</v>
      </c>
      <c r="B120" s="236" t="s">
        <v>19</v>
      </c>
    </row>
    <row r="121" spans="1:2" s="25" customFormat="1" ht="49.5" customHeight="1">
      <c r="A121" s="25" t="s">
        <v>9</v>
      </c>
      <c r="B121" s="236" t="s">
        <v>20</v>
      </c>
    </row>
    <row r="122" spans="1:2" s="25" customFormat="1" ht="49.5" customHeight="1">
      <c r="A122" s="25" t="s">
        <v>9</v>
      </c>
      <c r="B122" s="236" t="s">
        <v>21</v>
      </c>
    </row>
    <row r="123" spans="1:2" s="25" customFormat="1" ht="49.5" customHeight="1">
      <c r="A123" s="25" t="s">
        <v>9</v>
      </c>
      <c r="B123" s="236" t="s">
        <v>22</v>
      </c>
    </row>
    <row r="124" spans="1:2" s="25" customFormat="1" ht="49.5" customHeight="1">
      <c r="A124" s="25" t="s">
        <v>9</v>
      </c>
      <c r="B124" s="236" t="s">
        <v>23</v>
      </c>
    </row>
    <row r="125" spans="1:2" s="25" customFormat="1" ht="49.5" customHeight="1">
      <c r="A125" s="25" t="s">
        <v>9</v>
      </c>
      <c r="B125" s="236" t="s">
        <v>24</v>
      </c>
    </row>
    <row r="127" spans="1:2" s="14" customFormat="1" ht="55.5" customHeight="1">
      <c r="A127" s="235" t="s">
        <v>15</v>
      </c>
      <c r="B127" s="20" t="s">
        <v>43</v>
      </c>
    </row>
    <row r="128" spans="1:2" s="25" customFormat="1" ht="49.5" customHeight="1">
      <c r="A128" s="25" t="s">
        <v>15</v>
      </c>
      <c r="B128" s="236" t="s">
        <v>31</v>
      </c>
    </row>
    <row r="129" spans="1:2" s="25" customFormat="1" ht="49.5" customHeight="1">
      <c r="A129" s="25" t="s">
        <v>15</v>
      </c>
      <c r="B129" s="236" t="s">
        <v>33</v>
      </c>
    </row>
    <row r="130" spans="1:2" s="25" customFormat="1" ht="49.5" customHeight="1">
      <c r="A130" s="25" t="s">
        <v>15</v>
      </c>
      <c r="B130" s="236" t="s">
        <v>34</v>
      </c>
    </row>
    <row r="131" spans="1:2" s="25" customFormat="1" ht="49.5" customHeight="1">
      <c r="A131" s="25" t="s">
        <v>15</v>
      </c>
      <c r="B131" s="236" t="s">
        <v>35</v>
      </c>
    </row>
    <row r="132" spans="1:2" s="25" customFormat="1" ht="49.5" customHeight="1">
      <c r="A132" s="25" t="s">
        <v>15</v>
      </c>
      <c r="B132" s="236" t="s">
        <v>36</v>
      </c>
    </row>
    <row r="133" spans="1:2" s="25" customFormat="1" ht="49.5" customHeight="1">
      <c r="A133" s="25" t="s">
        <v>15</v>
      </c>
      <c r="B133" s="236" t="s">
        <v>37</v>
      </c>
    </row>
    <row r="134" spans="1:2" s="25" customFormat="1" ht="49.5" customHeight="1">
      <c r="A134" s="25" t="s">
        <v>15</v>
      </c>
      <c r="B134" s="236" t="s">
        <v>40</v>
      </c>
    </row>
    <row r="135" spans="1:2" s="25" customFormat="1" ht="49.5" customHeight="1">
      <c r="A135" s="25" t="s">
        <v>15</v>
      </c>
      <c r="B135" s="236" t="s">
        <v>41</v>
      </c>
    </row>
    <row r="136" spans="1:2" s="25" customFormat="1" ht="49.5" customHeight="1">
      <c r="A136" s="25" t="s">
        <v>15</v>
      </c>
      <c r="B136" s="236" t="s">
        <v>42</v>
      </c>
    </row>
    <row r="138" spans="1:2" s="14" customFormat="1" ht="55.5" customHeight="1">
      <c r="A138" s="235" t="s">
        <v>32</v>
      </c>
      <c r="B138" s="20" t="s">
        <v>94</v>
      </c>
    </row>
    <row r="139" spans="1:2" s="25" customFormat="1" ht="49.5" customHeight="1">
      <c r="A139" s="25" t="s">
        <v>32</v>
      </c>
      <c r="B139" s="236" t="s">
        <v>63</v>
      </c>
    </row>
    <row r="140" spans="1:2" s="25" customFormat="1" ht="49.5" customHeight="1">
      <c r="A140" s="25" t="s">
        <v>32</v>
      </c>
      <c r="B140" s="236" t="s">
        <v>64</v>
      </c>
    </row>
    <row r="141" spans="1:2" s="25" customFormat="1" ht="49.5" customHeight="1">
      <c r="A141" s="25" t="s">
        <v>32</v>
      </c>
      <c r="B141" s="236" t="s">
        <v>65</v>
      </c>
    </row>
    <row r="142" spans="1:2" s="25" customFormat="1" ht="49.5" customHeight="1">
      <c r="A142" s="25" t="s">
        <v>32</v>
      </c>
      <c r="B142" s="236" t="s">
        <v>66</v>
      </c>
    </row>
    <row r="143" spans="1:2" s="25" customFormat="1" ht="49.5" customHeight="1">
      <c r="A143" s="25" t="s">
        <v>32</v>
      </c>
      <c r="B143" s="236" t="s">
        <v>67</v>
      </c>
    </row>
    <row r="144" spans="1:2" s="25" customFormat="1" ht="49.5" customHeight="1">
      <c r="A144" s="25" t="s">
        <v>32</v>
      </c>
      <c r="B144" s="236" t="s">
        <v>68</v>
      </c>
    </row>
    <row r="145" spans="1:2" s="25" customFormat="1" ht="49.5" customHeight="1">
      <c r="A145" s="25" t="s">
        <v>32</v>
      </c>
      <c r="B145" s="236" t="s">
        <v>69</v>
      </c>
    </row>
    <row r="146" spans="1:2" s="25" customFormat="1" ht="49.5" customHeight="1">
      <c r="A146" s="25" t="s">
        <v>32</v>
      </c>
      <c r="B146" s="236" t="s">
        <v>70</v>
      </c>
    </row>
    <row r="147" spans="1:2" s="25" customFormat="1" ht="49.5" customHeight="1">
      <c r="A147" s="25" t="s">
        <v>32</v>
      </c>
      <c r="B147" s="236" t="s">
        <v>71</v>
      </c>
    </row>
    <row r="149" spans="1:2" s="14" customFormat="1" ht="55.5" customHeight="1">
      <c r="A149" s="235" t="s">
        <v>46</v>
      </c>
      <c r="B149" s="20" t="s">
        <v>72</v>
      </c>
    </row>
    <row r="150" spans="1:2" s="25" customFormat="1" ht="49.5" customHeight="1">
      <c r="A150" s="25" t="s">
        <v>46</v>
      </c>
      <c r="B150" s="236" t="s">
        <v>73</v>
      </c>
    </row>
    <row r="151" spans="1:2" s="25" customFormat="1" ht="49.5" customHeight="1">
      <c r="A151" s="25" t="s">
        <v>46</v>
      </c>
      <c r="B151" s="236" t="s">
        <v>74</v>
      </c>
    </row>
    <row r="152" spans="1:2" s="25" customFormat="1" ht="49.5" customHeight="1">
      <c r="A152" s="25" t="s">
        <v>46</v>
      </c>
      <c r="B152" s="236" t="s">
        <v>75</v>
      </c>
    </row>
    <row r="153" spans="1:2" s="25" customFormat="1" ht="49.5" customHeight="1">
      <c r="A153" s="25" t="s">
        <v>46</v>
      </c>
      <c r="B153" s="236" t="s">
        <v>76</v>
      </c>
    </row>
    <row r="154" spans="1:2" s="25" customFormat="1" ht="49.5" customHeight="1">
      <c r="A154" s="25" t="s">
        <v>46</v>
      </c>
      <c r="B154" s="236" t="s">
        <v>77</v>
      </c>
    </row>
    <row r="155" spans="1:2" s="25" customFormat="1" ht="49.5" customHeight="1">
      <c r="A155" s="25" t="s">
        <v>46</v>
      </c>
      <c r="B155" s="236" t="s">
        <v>78</v>
      </c>
    </row>
    <row r="156" spans="1:2" s="25" customFormat="1" ht="49.5" customHeight="1">
      <c r="A156" s="25" t="s">
        <v>46</v>
      </c>
      <c r="B156" s="236" t="s">
        <v>79</v>
      </c>
    </row>
    <row r="157" spans="1:2" s="25" customFormat="1" ht="49.5" customHeight="1">
      <c r="A157" s="25" t="s">
        <v>46</v>
      </c>
      <c r="B157" s="236" t="s">
        <v>80</v>
      </c>
    </row>
    <row r="158" spans="1:2" s="25" customFormat="1" ht="49.5" customHeight="1">
      <c r="A158" s="25" t="s">
        <v>46</v>
      </c>
      <c r="B158" s="236" t="s">
        <v>81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zoomScale="75" zoomScaleNormal="75" workbookViewId="0" topLeftCell="A1">
      <selection activeCell="K29" sqref="K29"/>
    </sheetView>
  </sheetViews>
  <sheetFormatPr defaultColWidth="9.140625" defaultRowHeight="12.75"/>
  <cols>
    <col min="1" max="1" width="26.140625" style="0" customWidth="1"/>
    <col min="7" max="7" width="9.28125" style="0" bestFit="1" customWidth="1"/>
  </cols>
  <sheetData>
    <row r="1" spans="1:7" ht="61.5" customHeight="1">
      <c r="A1" s="126" t="s">
        <v>467</v>
      </c>
      <c r="B1" s="237" t="s">
        <v>45</v>
      </c>
      <c r="C1" s="238"/>
      <c r="D1" s="238"/>
      <c r="E1" s="238"/>
      <c r="F1" s="238"/>
      <c r="G1" s="252"/>
    </row>
    <row r="2" spans="1:8" s="122" customFormat="1" ht="30.75" customHeight="1">
      <c r="A2" s="255" t="s">
        <v>185</v>
      </c>
      <c r="B2" s="278" t="s">
        <v>460</v>
      </c>
      <c r="C2" s="279"/>
      <c r="D2" s="278" t="s">
        <v>461</v>
      </c>
      <c r="E2" s="279"/>
      <c r="F2" s="280" t="s">
        <v>439</v>
      </c>
      <c r="G2" s="286" t="s">
        <v>30</v>
      </c>
      <c r="H2" s="20"/>
    </row>
    <row r="3" spans="1:8" s="122" customFormat="1" ht="30.75" customHeight="1">
      <c r="A3" s="256"/>
      <c r="B3" s="132" t="s">
        <v>438</v>
      </c>
      <c r="C3" s="133" t="s">
        <v>459</v>
      </c>
      <c r="D3" s="132" t="s">
        <v>438</v>
      </c>
      <c r="E3" s="133" t="s">
        <v>459</v>
      </c>
      <c r="F3" s="281"/>
      <c r="G3" s="286"/>
      <c r="H3" s="20"/>
    </row>
    <row r="4" spans="1:8" s="175" customFormat="1" ht="15" customHeight="1">
      <c r="A4" s="3" t="s">
        <v>250</v>
      </c>
      <c r="B4" s="182">
        <f>B53</f>
        <v>27</v>
      </c>
      <c r="C4" s="188">
        <f>C53</f>
        <v>8.328703703703704</v>
      </c>
      <c r="D4" s="181">
        <f>D53</f>
        <v>0</v>
      </c>
      <c r="E4" s="188">
        <f>E53</f>
        <v>0</v>
      </c>
      <c r="F4" s="183">
        <f>F53</f>
        <v>27</v>
      </c>
      <c r="G4" s="208">
        <f>F4/$F$13*100</f>
        <v>9.96309963099631</v>
      </c>
      <c r="H4" s="20"/>
    </row>
    <row r="5" spans="1:8" s="175" customFormat="1" ht="15" customHeight="1">
      <c r="A5" s="3" t="s">
        <v>251</v>
      </c>
      <c r="B5" s="184">
        <f>B61</f>
        <v>20</v>
      </c>
      <c r="C5" s="189">
        <f>C61</f>
        <v>8.726190476190476</v>
      </c>
      <c r="D5" s="177">
        <f>D61</f>
        <v>0</v>
      </c>
      <c r="E5" s="189">
        <f>E61</f>
        <v>0</v>
      </c>
      <c r="F5" s="185">
        <f>F61</f>
        <v>20</v>
      </c>
      <c r="G5" s="209">
        <f aca="true" t="shared" si="0" ref="G5:G13">F5/$F$13*100</f>
        <v>7.380073800738007</v>
      </c>
      <c r="H5" s="20"/>
    </row>
    <row r="6" spans="1:8" s="175" customFormat="1" ht="15" customHeight="1">
      <c r="A6" s="3" t="s">
        <v>252</v>
      </c>
      <c r="B6" s="184">
        <f>B86</f>
        <v>34</v>
      </c>
      <c r="C6" s="189">
        <f>C86</f>
        <v>7.715277777777778</v>
      </c>
      <c r="D6" s="177">
        <f>D86</f>
        <v>4</v>
      </c>
      <c r="E6" s="189">
        <f>E86</f>
        <v>5</v>
      </c>
      <c r="F6" s="185">
        <f>F86</f>
        <v>38</v>
      </c>
      <c r="G6" s="209">
        <f t="shared" si="0"/>
        <v>14.022140221402212</v>
      </c>
      <c r="H6" s="20"/>
    </row>
    <row r="7" spans="1:8" s="175" customFormat="1" ht="15" customHeight="1">
      <c r="A7" s="3" t="s">
        <v>253</v>
      </c>
      <c r="B7" s="184">
        <f>B106</f>
        <v>30</v>
      </c>
      <c r="C7" s="189">
        <f>C106</f>
        <v>8.343333333333334</v>
      </c>
      <c r="D7" s="177">
        <f>D106</f>
        <v>3</v>
      </c>
      <c r="E7" s="189">
        <f>E106</f>
        <v>5.791666666666667</v>
      </c>
      <c r="F7" s="185">
        <f>F106</f>
        <v>33</v>
      </c>
      <c r="G7" s="209">
        <f t="shared" si="0"/>
        <v>12.177121771217712</v>
      </c>
      <c r="H7" s="20"/>
    </row>
    <row r="8" spans="1:8" s="175" customFormat="1" ht="15" customHeight="1">
      <c r="A8" s="3" t="s">
        <v>254</v>
      </c>
      <c r="B8" s="184">
        <f>B125</f>
        <v>44</v>
      </c>
      <c r="C8" s="189">
        <f>C125</f>
        <v>9.264583333333333</v>
      </c>
      <c r="D8" s="177">
        <f>D125</f>
        <v>7</v>
      </c>
      <c r="E8" s="189">
        <f>E125</f>
        <v>6.083333333333333</v>
      </c>
      <c r="F8" s="185">
        <f>F125</f>
        <v>51</v>
      </c>
      <c r="G8" s="209">
        <f t="shared" si="0"/>
        <v>18.81918819188192</v>
      </c>
      <c r="H8" s="20"/>
    </row>
    <row r="9" spans="1:8" s="175" customFormat="1" ht="15" customHeight="1">
      <c r="A9" s="3" t="s">
        <v>255</v>
      </c>
      <c r="B9" s="184">
        <f>B137</f>
        <v>11</v>
      </c>
      <c r="C9" s="189">
        <f>C137</f>
        <v>8.708333333333334</v>
      </c>
      <c r="D9" s="177">
        <f>D137</f>
        <v>1</v>
      </c>
      <c r="E9" s="189">
        <f>E137</f>
        <v>5</v>
      </c>
      <c r="F9" s="185">
        <f>F137</f>
        <v>12</v>
      </c>
      <c r="G9" s="209">
        <f t="shared" si="0"/>
        <v>4.428044280442804</v>
      </c>
      <c r="H9" s="20"/>
    </row>
    <row r="10" spans="1:8" s="175" customFormat="1" ht="15" customHeight="1">
      <c r="A10" s="3" t="s">
        <v>256</v>
      </c>
      <c r="B10" s="184">
        <f>B148</f>
        <v>41</v>
      </c>
      <c r="C10" s="189">
        <f>C148</f>
        <v>8.365</v>
      </c>
      <c r="D10" s="177">
        <f>D148</f>
        <v>0</v>
      </c>
      <c r="E10" s="189">
        <f>E148</f>
        <v>0</v>
      </c>
      <c r="F10" s="185">
        <f>F148</f>
        <v>41</v>
      </c>
      <c r="G10" s="209">
        <f t="shared" si="0"/>
        <v>15.129151291512915</v>
      </c>
      <c r="H10" s="20"/>
    </row>
    <row r="11" spans="1:7" s="175" customFormat="1" ht="15" customHeight="1">
      <c r="A11" s="3" t="s">
        <v>257</v>
      </c>
      <c r="B11" s="184">
        <f>B170</f>
        <v>24</v>
      </c>
      <c r="C11" s="189">
        <f>C170</f>
        <v>8.476851851851851</v>
      </c>
      <c r="D11" s="177">
        <f>D170</f>
        <v>18</v>
      </c>
      <c r="E11" s="189">
        <f>E170</f>
        <v>5.8125</v>
      </c>
      <c r="F11" s="185">
        <f>F170</f>
        <v>42</v>
      </c>
      <c r="G11" s="209">
        <f t="shared" si="0"/>
        <v>15.498154981549817</v>
      </c>
    </row>
    <row r="12" spans="1:7" s="175" customFormat="1" ht="15" customHeight="1">
      <c r="A12" s="3" t="s">
        <v>258</v>
      </c>
      <c r="B12" s="186">
        <f>B177</f>
        <v>7</v>
      </c>
      <c r="C12" s="190">
        <f>C177</f>
        <v>8.416666666666666</v>
      </c>
      <c r="D12" s="178">
        <f>D177</f>
        <v>0</v>
      </c>
      <c r="E12" s="190">
        <f>E177</f>
        <v>0</v>
      </c>
      <c r="F12" s="187">
        <f>F177</f>
        <v>7</v>
      </c>
      <c r="G12" s="210">
        <f t="shared" si="0"/>
        <v>2.5830258302583027</v>
      </c>
    </row>
    <row r="13" spans="1:7" s="176" customFormat="1" ht="18" customHeight="1">
      <c r="A13" s="4" t="s">
        <v>259</v>
      </c>
      <c r="B13" s="179">
        <f>SUM(B4:B12)</f>
        <v>238</v>
      </c>
      <c r="C13" s="191">
        <f>SUM(C4:C12)/9</f>
        <v>8.482771164021166</v>
      </c>
      <c r="D13" s="179">
        <f>SUM(D4:D12)</f>
        <v>33</v>
      </c>
      <c r="E13" s="191">
        <f>SUM(E4:E12)/5</f>
        <v>5.5375</v>
      </c>
      <c r="F13" s="179">
        <f>SUM(F4:F12)</f>
        <v>271</v>
      </c>
      <c r="G13" s="211">
        <f t="shared" si="0"/>
        <v>100</v>
      </c>
    </row>
    <row r="15" ht="12.75">
      <c r="A15" s="124" t="s">
        <v>25</v>
      </c>
    </row>
    <row r="16" ht="12.75">
      <c r="A16" s="124"/>
    </row>
    <row r="17" spans="1:4" ht="18">
      <c r="A17" s="124"/>
      <c r="C17" s="214" t="s">
        <v>460</v>
      </c>
      <c r="D17" s="214" t="s">
        <v>461</v>
      </c>
    </row>
    <row r="18" spans="1:4" ht="12.75">
      <c r="A18" s="124"/>
      <c r="B18" s="212" t="s">
        <v>250</v>
      </c>
      <c r="C18" s="213">
        <f aca="true" t="shared" si="1" ref="C18:C26">B4</f>
        <v>27</v>
      </c>
      <c r="D18" s="213">
        <f aca="true" t="shared" si="2" ref="D18:D26">D4</f>
        <v>0</v>
      </c>
    </row>
    <row r="19" spans="1:4" ht="12.75">
      <c r="A19" s="124"/>
      <c r="B19" s="212" t="s">
        <v>251</v>
      </c>
      <c r="C19" s="213">
        <f t="shared" si="1"/>
        <v>20</v>
      </c>
      <c r="D19" s="213">
        <f t="shared" si="2"/>
        <v>0</v>
      </c>
    </row>
    <row r="20" spans="1:4" ht="12.75">
      <c r="A20" s="124"/>
      <c r="B20" s="212" t="s">
        <v>252</v>
      </c>
      <c r="C20" s="213">
        <f t="shared" si="1"/>
        <v>34</v>
      </c>
      <c r="D20" s="213">
        <f t="shared" si="2"/>
        <v>4</v>
      </c>
    </row>
    <row r="21" spans="1:4" ht="12.75">
      <c r="A21" s="124"/>
      <c r="B21" s="212" t="s">
        <v>253</v>
      </c>
      <c r="C21" s="213">
        <f t="shared" si="1"/>
        <v>30</v>
      </c>
      <c r="D21" s="213">
        <f t="shared" si="2"/>
        <v>3</v>
      </c>
    </row>
    <row r="22" spans="1:4" ht="12.75">
      <c r="A22" s="124"/>
      <c r="B22" s="212" t="s">
        <v>254</v>
      </c>
      <c r="C22" s="213">
        <f t="shared" si="1"/>
        <v>44</v>
      </c>
      <c r="D22" s="213">
        <f t="shared" si="2"/>
        <v>7</v>
      </c>
    </row>
    <row r="23" spans="1:4" ht="12.75">
      <c r="A23" s="124"/>
      <c r="B23" s="212" t="s">
        <v>255</v>
      </c>
      <c r="C23" s="213">
        <f t="shared" si="1"/>
        <v>11</v>
      </c>
      <c r="D23" s="213">
        <f t="shared" si="2"/>
        <v>1</v>
      </c>
    </row>
    <row r="24" spans="1:4" ht="12.75">
      <c r="A24" s="124"/>
      <c r="B24" s="212" t="s">
        <v>256</v>
      </c>
      <c r="C24" s="213">
        <f t="shared" si="1"/>
        <v>41</v>
      </c>
      <c r="D24" s="213">
        <f t="shared" si="2"/>
        <v>0</v>
      </c>
    </row>
    <row r="25" spans="1:4" ht="12.75">
      <c r="A25" s="124"/>
      <c r="B25" s="212" t="s">
        <v>257</v>
      </c>
      <c r="C25" s="213">
        <f t="shared" si="1"/>
        <v>24</v>
      </c>
      <c r="D25" s="213">
        <f t="shared" si="2"/>
        <v>18</v>
      </c>
    </row>
    <row r="26" spans="1:4" ht="12.75">
      <c r="A26" s="124"/>
      <c r="B26" s="212" t="s">
        <v>258</v>
      </c>
      <c r="C26" s="213">
        <f t="shared" si="1"/>
        <v>7</v>
      </c>
      <c r="D26" s="213">
        <f t="shared" si="2"/>
        <v>0</v>
      </c>
    </row>
    <row r="27" ht="12.75">
      <c r="A27" s="124"/>
    </row>
    <row r="28" ht="12.75">
      <c r="A28" s="124"/>
    </row>
    <row r="29" ht="12.75">
      <c r="A29" s="124"/>
    </row>
    <row r="41" spans="1:8" s="163" customFormat="1" ht="27" customHeight="1">
      <c r="A41" s="285" t="s">
        <v>272</v>
      </c>
      <c r="B41" s="285"/>
      <c r="C41" s="285"/>
      <c r="D41" s="285"/>
      <c r="E41" s="285"/>
      <c r="F41" s="285"/>
      <c r="G41" s="285"/>
      <c r="H41" s="180"/>
    </row>
    <row r="44" spans="1:7" s="11" customFormat="1" ht="60.75" customHeight="1">
      <c r="A44" s="24" t="s">
        <v>467</v>
      </c>
      <c r="B44" s="248" t="s">
        <v>465</v>
      </c>
      <c r="C44" s="249"/>
      <c r="D44" s="249"/>
      <c r="E44" s="249"/>
      <c r="F44" s="250"/>
      <c r="G44" s="44"/>
    </row>
    <row r="45" spans="1:6" s="11" customFormat="1" ht="39" customHeight="1">
      <c r="A45" s="287" t="s">
        <v>269</v>
      </c>
      <c r="B45" s="278" t="s">
        <v>460</v>
      </c>
      <c r="C45" s="279"/>
      <c r="D45" s="278" t="s">
        <v>461</v>
      </c>
      <c r="E45" s="279"/>
      <c r="F45" s="280" t="s">
        <v>439</v>
      </c>
    </row>
    <row r="46" spans="1:6" ht="24" customHeight="1">
      <c r="A46" s="287"/>
      <c r="B46" s="132" t="s">
        <v>438</v>
      </c>
      <c r="C46" s="133" t="s">
        <v>459</v>
      </c>
      <c r="D46" s="132" t="s">
        <v>438</v>
      </c>
      <c r="E46" s="133" t="s">
        <v>459</v>
      </c>
      <c r="F46" s="281"/>
    </row>
    <row r="47" spans="1:7" ht="18" customHeight="1">
      <c r="A47" s="127" t="s">
        <v>192</v>
      </c>
      <c r="B47" s="131">
        <v>1</v>
      </c>
      <c r="C47" s="146">
        <v>8.75</v>
      </c>
      <c r="D47" s="131">
        <v>0</v>
      </c>
      <c r="E47" s="146">
        <v>0</v>
      </c>
      <c r="F47" s="134">
        <f aca="true" t="shared" si="3" ref="F47:F53">B47+D47</f>
        <v>1</v>
      </c>
      <c r="G47" s="122"/>
    </row>
    <row r="48" spans="1:7" ht="18" customHeight="1">
      <c r="A48" s="127" t="s">
        <v>193</v>
      </c>
      <c r="B48" s="131">
        <v>2</v>
      </c>
      <c r="C48" s="146">
        <v>8</v>
      </c>
      <c r="D48" s="131">
        <v>0</v>
      </c>
      <c r="E48" s="146">
        <v>0</v>
      </c>
      <c r="F48" s="134">
        <f t="shared" si="3"/>
        <v>2</v>
      </c>
      <c r="G48" s="122"/>
    </row>
    <row r="49" spans="1:7" ht="18" customHeight="1">
      <c r="A49" s="127" t="s">
        <v>250</v>
      </c>
      <c r="B49" s="131">
        <v>18</v>
      </c>
      <c r="C49" s="146">
        <v>8.222222222222221</v>
      </c>
      <c r="D49" s="131">
        <v>0</v>
      </c>
      <c r="E49" s="146">
        <v>0</v>
      </c>
      <c r="F49" s="134">
        <f t="shared" si="3"/>
        <v>18</v>
      </c>
      <c r="G49" s="122"/>
    </row>
    <row r="50" spans="1:7" ht="18" customHeight="1">
      <c r="A50" s="127" t="s">
        <v>195</v>
      </c>
      <c r="B50" s="131">
        <v>3</v>
      </c>
      <c r="C50" s="146">
        <v>9</v>
      </c>
      <c r="D50" s="131">
        <v>0</v>
      </c>
      <c r="E50" s="146">
        <v>0</v>
      </c>
      <c r="F50" s="134">
        <f t="shared" si="3"/>
        <v>3</v>
      </c>
      <c r="G50" s="122"/>
    </row>
    <row r="51" spans="1:7" ht="18" customHeight="1">
      <c r="A51" s="127" t="s">
        <v>196</v>
      </c>
      <c r="B51" s="131">
        <v>2</v>
      </c>
      <c r="C51" s="146">
        <v>8</v>
      </c>
      <c r="D51" s="131">
        <v>0</v>
      </c>
      <c r="E51" s="146">
        <v>0</v>
      </c>
      <c r="F51" s="134">
        <f t="shared" si="3"/>
        <v>2</v>
      </c>
      <c r="G51" s="122"/>
    </row>
    <row r="52" spans="1:7" ht="18" customHeight="1">
      <c r="A52" s="127" t="s">
        <v>239</v>
      </c>
      <c r="B52" s="170">
        <v>1</v>
      </c>
      <c r="C52" s="220">
        <v>8</v>
      </c>
      <c r="D52" s="170">
        <v>0</v>
      </c>
      <c r="E52" s="220">
        <v>0</v>
      </c>
      <c r="F52" s="222">
        <f t="shared" si="3"/>
        <v>1</v>
      </c>
      <c r="G52" s="122"/>
    </row>
    <row r="53" spans="1:7" ht="28.5" customHeight="1">
      <c r="A53" s="30" t="s">
        <v>270</v>
      </c>
      <c r="B53" s="172">
        <f>SUM(B47:B52)</f>
        <v>27</v>
      </c>
      <c r="C53" s="221">
        <f>SUM(C47:C52)/6</f>
        <v>8.328703703703704</v>
      </c>
      <c r="D53" s="172">
        <f>SUM(D47:D52)</f>
        <v>0</v>
      </c>
      <c r="E53" s="221">
        <f>SUM(E47:E52)</f>
        <v>0</v>
      </c>
      <c r="F53" s="173">
        <f t="shared" si="3"/>
        <v>27</v>
      </c>
      <c r="G53" s="122"/>
    </row>
    <row r="55" spans="1:7" s="11" customFormat="1" ht="60.75" customHeight="1">
      <c r="A55" s="24" t="s">
        <v>467</v>
      </c>
      <c r="B55" s="248" t="s">
        <v>471</v>
      </c>
      <c r="C55" s="249"/>
      <c r="D55" s="249"/>
      <c r="E55" s="249"/>
      <c r="F55" s="250"/>
      <c r="G55" s="44"/>
    </row>
    <row r="56" spans="1:6" s="11" customFormat="1" ht="39" customHeight="1">
      <c r="A56" s="287" t="s">
        <v>269</v>
      </c>
      <c r="B56" s="278" t="s">
        <v>460</v>
      </c>
      <c r="C56" s="279"/>
      <c r="D56" s="278" t="s">
        <v>461</v>
      </c>
      <c r="E56" s="279"/>
      <c r="F56" s="280" t="s">
        <v>439</v>
      </c>
    </row>
    <row r="57" spans="1:6" ht="24" customHeight="1">
      <c r="A57" s="287"/>
      <c r="B57" s="132" t="s">
        <v>438</v>
      </c>
      <c r="C57" s="133" t="s">
        <v>459</v>
      </c>
      <c r="D57" s="132" t="s">
        <v>438</v>
      </c>
      <c r="E57" s="133" t="s">
        <v>459</v>
      </c>
      <c r="F57" s="281"/>
    </row>
    <row r="58" spans="1:7" ht="18" customHeight="1">
      <c r="A58" s="127" t="s">
        <v>199</v>
      </c>
      <c r="B58" s="131">
        <v>2</v>
      </c>
      <c r="C58" s="146">
        <v>8.5</v>
      </c>
      <c r="D58" s="131">
        <v>0</v>
      </c>
      <c r="E58" s="146">
        <v>0</v>
      </c>
      <c r="F58" s="134">
        <f>B58+D58</f>
        <v>2</v>
      </c>
      <c r="G58" s="122"/>
    </row>
    <row r="59" spans="1:7" ht="18" customHeight="1">
      <c r="A59" s="127" t="s">
        <v>371</v>
      </c>
      <c r="B59" s="131">
        <v>1</v>
      </c>
      <c r="C59" s="146">
        <v>8</v>
      </c>
      <c r="D59" s="131">
        <v>0</v>
      </c>
      <c r="E59" s="146">
        <v>0</v>
      </c>
      <c r="F59" s="134">
        <f>B59+D59</f>
        <v>1</v>
      </c>
      <c r="G59" s="122"/>
    </row>
    <row r="60" spans="1:7" ht="18" customHeight="1">
      <c r="A60" s="127" t="s">
        <v>251</v>
      </c>
      <c r="B60" s="131">
        <v>17</v>
      </c>
      <c r="C60" s="146">
        <v>9.678571428571429</v>
      </c>
      <c r="D60" s="131">
        <v>0</v>
      </c>
      <c r="E60" s="146">
        <v>0</v>
      </c>
      <c r="F60" s="134">
        <f>B60+D60</f>
        <v>17</v>
      </c>
      <c r="G60" s="122"/>
    </row>
    <row r="61" spans="1:7" ht="28.5" customHeight="1">
      <c r="A61" s="30" t="s">
        <v>271</v>
      </c>
      <c r="B61" s="172">
        <v>20</v>
      </c>
      <c r="C61" s="221">
        <f>SUM(C58:C60)/3</f>
        <v>8.726190476190476</v>
      </c>
      <c r="D61" s="172">
        <v>0</v>
      </c>
      <c r="E61" s="221">
        <v>0</v>
      </c>
      <c r="F61" s="173">
        <f>B61+D61</f>
        <v>20</v>
      </c>
      <c r="G61" s="122"/>
    </row>
    <row r="64" spans="1:7" s="11" customFormat="1" ht="60.75" customHeight="1">
      <c r="A64" s="24" t="s">
        <v>467</v>
      </c>
      <c r="B64" s="248" t="s">
        <v>475</v>
      </c>
      <c r="C64" s="249"/>
      <c r="D64" s="249"/>
      <c r="E64" s="249"/>
      <c r="F64" s="250"/>
      <c r="G64" s="44"/>
    </row>
    <row r="65" spans="1:6" s="11" customFormat="1" ht="39" customHeight="1">
      <c r="A65" s="287" t="s">
        <v>269</v>
      </c>
      <c r="B65" s="278" t="s">
        <v>460</v>
      </c>
      <c r="C65" s="279"/>
      <c r="D65" s="278" t="s">
        <v>461</v>
      </c>
      <c r="E65" s="279"/>
      <c r="F65" s="280" t="s">
        <v>439</v>
      </c>
    </row>
    <row r="66" spans="1:6" ht="24" customHeight="1">
      <c r="A66" s="287"/>
      <c r="B66" s="132" t="s">
        <v>438</v>
      </c>
      <c r="C66" s="133" t="s">
        <v>459</v>
      </c>
      <c r="D66" s="132" t="s">
        <v>438</v>
      </c>
      <c r="E66" s="133" t="s">
        <v>459</v>
      </c>
      <c r="F66" s="281"/>
    </row>
    <row r="67" spans="1:7" ht="18" customHeight="1">
      <c r="A67" s="127" t="s">
        <v>218</v>
      </c>
      <c r="B67" s="131">
        <v>4</v>
      </c>
      <c r="C67" s="146">
        <v>8.166666666666666</v>
      </c>
      <c r="D67" s="131">
        <v>0</v>
      </c>
      <c r="E67" s="146">
        <v>0</v>
      </c>
      <c r="F67" s="134">
        <f>B67+D67</f>
        <v>4</v>
      </c>
      <c r="G67" s="122"/>
    </row>
    <row r="68" spans="1:7" ht="18" customHeight="1">
      <c r="A68" s="127" t="s">
        <v>219</v>
      </c>
      <c r="B68" s="131">
        <v>1</v>
      </c>
      <c r="C68" s="146">
        <v>8.5</v>
      </c>
      <c r="D68" s="131">
        <v>0</v>
      </c>
      <c r="E68" s="146">
        <v>0</v>
      </c>
      <c r="F68" s="134">
        <f aca="true" t="shared" si="4" ref="F68:F86">B68+D68</f>
        <v>1</v>
      </c>
      <c r="G68" s="122"/>
    </row>
    <row r="69" spans="1:7" ht="18" customHeight="1">
      <c r="A69" s="127" t="s">
        <v>222</v>
      </c>
      <c r="B69" s="131">
        <v>1</v>
      </c>
      <c r="C69" s="146">
        <v>8</v>
      </c>
      <c r="D69" s="131">
        <v>0</v>
      </c>
      <c r="E69" s="146">
        <v>0</v>
      </c>
      <c r="F69" s="134">
        <f t="shared" si="4"/>
        <v>1</v>
      </c>
      <c r="G69" s="122"/>
    </row>
    <row r="70" spans="1:7" ht="18" customHeight="1">
      <c r="A70" s="127" t="s">
        <v>277</v>
      </c>
      <c r="B70" s="131">
        <v>1</v>
      </c>
      <c r="C70" s="146">
        <v>8</v>
      </c>
      <c r="D70" s="131">
        <v>0</v>
      </c>
      <c r="E70" s="146">
        <v>0</v>
      </c>
      <c r="F70" s="134">
        <f t="shared" si="4"/>
        <v>1</v>
      </c>
      <c r="G70" s="122"/>
    </row>
    <row r="71" spans="1:7" ht="18" customHeight="1">
      <c r="A71" s="127" t="s">
        <v>278</v>
      </c>
      <c r="B71" s="131">
        <v>1</v>
      </c>
      <c r="C71" s="146">
        <v>8</v>
      </c>
      <c r="D71" s="131">
        <v>0</v>
      </c>
      <c r="E71" s="146">
        <v>0</v>
      </c>
      <c r="F71" s="134">
        <f t="shared" si="4"/>
        <v>1</v>
      </c>
      <c r="G71" s="122"/>
    </row>
    <row r="72" spans="1:7" ht="18" customHeight="1">
      <c r="A72" s="127" t="s">
        <v>279</v>
      </c>
      <c r="B72" s="131">
        <v>1</v>
      </c>
      <c r="C72" s="146">
        <v>8.25</v>
      </c>
      <c r="D72" s="131">
        <v>0</v>
      </c>
      <c r="E72" s="146">
        <v>0</v>
      </c>
      <c r="F72" s="134">
        <f t="shared" si="4"/>
        <v>1</v>
      </c>
      <c r="G72" s="122"/>
    </row>
    <row r="73" spans="1:7" ht="18" customHeight="1">
      <c r="A73" s="127" t="s">
        <v>281</v>
      </c>
      <c r="B73" s="131">
        <v>1</v>
      </c>
      <c r="C73" s="146">
        <v>8</v>
      </c>
      <c r="D73" s="131">
        <v>0</v>
      </c>
      <c r="E73" s="146">
        <v>0</v>
      </c>
      <c r="F73" s="134">
        <f t="shared" si="4"/>
        <v>1</v>
      </c>
      <c r="G73" s="122"/>
    </row>
    <row r="74" spans="1:7" ht="18" customHeight="1">
      <c r="A74" s="127" t="s">
        <v>282</v>
      </c>
      <c r="B74" s="131">
        <v>1</v>
      </c>
      <c r="C74" s="146">
        <v>8</v>
      </c>
      <c r="D74" s="131">
        <v>0</v>
      </c>
      <c r="E74" s="146">
        <v>0</v>
      </c>
      <c r="F74" s="134">
        <f t="shared" si="4"/>
        <v>1</v>
      </c>
      <c r="G74" s="122"/>
    </row>
    <row r="75" spans="1:7" ht="18" customHeight="1">
      <c r="A75" s="127" t="s">
        <v>284</v>
      </c>
      <c r="B75" s="131">
        <v>2</v>
      </c>
      <c r="C75" s="146">
        <v>8.5</v>
      </c>
      <c r="D75" s="131">
        <v>0</v>
      </c>
      <c r="E75" s="146">
        <v>0</v>
      </c>
      <c r="F75" s="134">
        <f t="shared" si="4"/>
        <v>2</v>
      </c>
      <c r="G75" s="122"/>
    </row>
    <row r="76" spans="1:7" ht="18" customHeight="1">
      <c r="A76" s="127" t="s">
        <v>286</v>
      </c>
      <c r="B76" s="131">
        <v>1</v>
      </c>
      <c r="C76" s="146">
        <v>8</v>
      </c>
      <c r="D76" s="131">
        <v>0</v>
      </c>
      <c r="E76" s="146">
        <v>0</v>
      </c>
      <c r="F76" s="134">
        <f t="shared" si="4"/>
        <v>1</v>
      </c>
      <c r="G76" s="122"/>
    </row>
    <row r="77" spans="1:7" ht="18" customHeight="1">
      <c r="A77" s="127" t="s">
        <v>291</v>
      </c>
      <c r="B77" s="131">
        <v>1</v>
      </c>
      <c r="C77" s="146">
        <v>8.5</v>
      </c>
      <c r="D77" s="131">
        <v>0</v>
      </c>
      <c r="E77" s="146">
        <v>0</v>
      </c>
      <c r="F77" s="134">
        <f t="shared" si="4"/>
        <v>1</v>
      </c>
      <c r="G77" s="122"/>
    </row>
    <row r="78" spans="1:7" ht="18" customHeight="1">
      <c r="A78" s="127" t="s">
        <v>293</v>
      </c>
      <c r="B78" s="131">
        <v>3</v>
      </c>
      <c r="C78" s="146">
        <v>8</v>
      </c>
      <c r="D78" s="131">
        <v>0</v>
      </c>
      <c r="E78" s="146">
        <v>0</v>
      </c>
      <c r="F78" s="134">
        <f t="shared" si="4"/>
        <v>3</v>
      </c>
      <c r="G78" s="122"/>
    </row>
    <row r="79" spans="1:7" ht="18" customHeight="1">
      <c r="A79" s="127" t="s">
        <v>294</v>
      </c>
      <c r="B79" s="131">
        <v>7</v>
      </c>
      <c r="C79" s="146">
        <v>8.208333333333334</v>
      </c>
      <c r="D79" s="131">
        <v>1</v>
      </c>
      <c r="E79" s="146">
        <v>5</v>
      </c>
      <c r="F79" s="134">
        <f t="shared" si="4"/>
        <v>8</v>
      </c>
      <c r="G79" s="122"/>
    </row>
    <row r="80" spans="1:7" ht="18" customHeight="1">
      <c r="A80" s="127" t="s">
        <v>295</v>
      </c>
      <c r="B80" s="131">
        <v>1</v>
      </c>
      <c r="C80" s="146">
        <v>8.5</v>
      </c>
      <c r="D80" s="131">
        <v>1</v>
      </c>
      <c r="E80" s="146">
        <v>5</v>
      </c>
      <c r="F80" s="134">
        <f t="shared" si="4"/>
        <v>2</v>
      </c>
      <c r="G80" s="122"/>
    </row>
    <row r="81" spans="1:7" ht="18" customHeight="1">
      <c r="A81" s="127" t="s">
        <v>297</v>
      </c>
      <c r="B81" s="131">
        <v>0</v>
      </c>
      <c r="C81" s="146">
        <v>0</v>
      </c>
      <c r="D81" s="131">
        <v>1</v>
      </c>
      <c r="E81" s="146">
        <v>5.5</v>
      </c>
      <c r="F81" s="134">
        <f t="shared" si="4"/>
        <v>1</v>
      </c>
      <c r="G81" s="122"/>
    </row>
    <row r="82" spans="1:7" ht="18" customHeight="1">
      <c r="A82" s="127" t="s">
        <v>246</v>
      </c>
      <c r="B82" s="131">
        <v>3</v>
      </c>
      <c r="C82" s="146">
        <v>7.5</v>
      </c>
      <c r="D82" s="131">
        <v>0</v>
      </c>
      <c r="E82" s="146">
        <v>0</v>
      </c>
      <c r="F82" s="134">
        <f t="shared" si="4"/>
        <v>3</v>
      </c>
      <c r="G82" s="122"/>
    </row>
    <row r="83" spans="1:7" ht="18" customHeight="1">
      <c r="A83" s="127" t="s">
        <v>301</v>
      </c>
      <c r="B83" s="131">
        <v>0</v>
      </c>
      <c r="C83" s="146">
        <v>0</v>
      </c>
      <c r="D83" s="131">
        <v>1</v>
      </c>
      <c r="E83" s="146">
        <v>4.5</v>
      </c>
      <c r="F83" s="134">
        <f t="shared" si="4"/>
        <v>1</v>
      </c>
      <c r="G83" s="122"/>
    </row>
    <row r="84" spans="1:7" ht="18" customHeight="1">
      <c r="A84" s="127" t="s">
        <v>302</v>
      </c>
      <c r="B84" s="131">
        <v>2</v>
      </c>
      <c r="C84" s="146">
        <v>7.5</v>
      </c>
      <c r="D84" s="131">
        <v>0</v>
      </c>
      <c r="E84" s="146">
        <v>0</v>
      </c>
      <c r="F84" s="134">
        <f t="shared" si="4"/>
        <v>2</v>
      </c>
      <c r="G84" s="122"/>
    </row>
    <row r="85" spans="1:7" ht="18" customHeight="1">
      <c r="A85" s="127" t="s">
        <v>303</v>
      </c>
      <c r="B85" s="131">
        <v>3</v>
      </c>
      <c r="C85" s="146">
        <v>9.25</v>
      </c>
      <c r="D85" s="131">
        <v>0</v>
      </c>
      <c r="E85" s="146">
        <v>0</v>
      </c>
      <c r="F85" s="134">
        <f t="shared" si="4"/>
        <v>3</v>
      </c>
      <c r="G85" s="122"/>
    </row>
    <row r="86" spans="1:7" ht="28.5" customHeight="1">
      <c r="A86" s="30" t="s">
        <v>223</v>
      </c>
      <c r="B86" s="172">
        <v>34</v>
      </c>
      <c r="C86" s="221">
        <f>SUM(C67:C85)/18</f>
        <v>7.715277777777778</v>
      </c>
      <c r="D86" s="172">
        <v>4</v>
      </c>
      <c r="E86" s="221">
        <f>SUM(E67:E85)/4</f>
        <v>5</v>
      </c>
      <c r="F86" s="173">
        <f t="shared" si="4"/>
        <v>38</v>
      </c>
      <c r="G86" s="122"/>
    </row>
    <row r="88" ht="12.75">
      <c r="A88" s="153" t="s">
        <v>58</v>
      </c>
    </row>
    <row r="89" ht="12.75">
      <c r="A89" s="153" t="s">
        <v>59</v>
      </c>
    </row>
    <row r="90" ht="12.75">
      <c r="A90" s="54"/>
    </row>
    <row r="91" ht="12.75">
      <c r="A91" s="153" t="s">
        <v>474</v>
      </c>
    </row>
    <row r="93" spans="1:7" s="11" customFormat="1" ht="60.75" customHeight="1">
      <c r="A93" s="24" t="s">
        <v>467</v>
      </c>
      <c r="B93" s="248" t="s">
        <v>476</v>
      </c>
      <c r="C93" s="249"/>
      <c r="D93" s="249"/>
      <c r="E93" s="249"/>
      <c r="F93" s="250"/>
      <c r="G93" s="44"/>
    </row>
    <row r="94" spans="1:6" s="11" customFormat="1" ht="39" customHeight="1">
      <c r="A94" s="287" t="s">
        <v>269</v>
      </c>
      <c r="B94" s="278" t="s">
        <v>460</v>
      </c>
      <c r="C94" s="279"/>
      <c r="D94" s="278" t="s">
        <v>461</v>
      </c>
      <c r="E94" s="279"/>
      <c r="F94" s="280" t="s">
        <v>439</v>
      </c>
    </row>
    <row r="95" spans="1:6" ht="24" customHeight="1">
      <c r="A95" s="287"/>
      <c r="B95" s="132" t="s">
        <v>438</v>
      </c>
      <c r="C95" s="133" t="s">
        <v>459</v>
      </c>
      <c r="D95" s="132" t="s">
        <v>438</v>
      </c>
      <c r="E95" s="133" t="s">
        <v>459</v>
      </c>
      <c r="F95" s="281"/>
    </row>
    <row r="96" spans="1:7" ht="18" customHeight="1">
      <c r="A96" s="127" t="s">
        <v>307</v>
      </c>
      <c r="B96" s="131">
        <v>11</v>
      </c>
      <c r="C96" s="146">
        <v>7.1</v>
      </c>
      <c r="D96" s="131">
        <v>0</v>
      </c>
      <c r="E96" s="146">
        <v>0</v>
      </c>
      <c r="F96" s="134">
        <f>B96+D96</f>
        <v>11</v>
      </c>
      <c r="G96" s="122"/>
    </row>
    <row r="97" spans="1:7" ht="18" customHeight="1">
      <c r="A97" s="127" t="s">
        <v>314</v>
      </c>
      <c r="B97" s="131">
        <v>1</v>
      </c>
      <c r="C97" s="146">
        <v>9</v>
      </c>
      <c r="D97" s="131">
        <v>0</v>
      </c>
      <c r="E97" s="146">
        <v>0</v>
      </c>
      <c r="F97" s="134">
        <f aca="true" t="shared" si="5" ref="F97:F106">B97+D97</f>
        <v>1</v>
      </c>
      <c r="G97" s="122"/>
    </row>
    <row r="98" spans="1:7" ht="18" customHeight="1">
      <c r="A98" s="127" t="s">
        <v>315</v>
      </c>
      <c r="B98" s="131">
        <v>1</v>
      </c>
      <c r="C98" s="146">
        <v>8.25</v>
      </c>
      <c r="D98" s="131">
        <v>1</v>
      </c>
      <c r="E98" s="146">
        <v>4.875</v>
      </c>
      <c r="F98" s="134">
        <f t="shared" si="5"/>
        <v>2</v>
      </c>
      <c r="G98" s="122"/>
    </row>
    <row r="99" spans="1:7" ht="18" customHeight="1">
      <c r="A99" s="127" t="s">
        <v>317</v>
      </c>
      <c r="B99" s="131">
        <v>1</v>
      </c>
      <c r="C99" s="146">
        <v>9</v>
      </c>
      <c r="D99" s="131">
        <v>0</v>
      </c>
      <c r="E99" s="146">
        <v>0</v>
      </c>
      <c r="F99" s="134">
        <f t="shared" si="5"/>
        <v>1</v>
      </c>
      <c r="G99" s="122"/>
    </row>
    <row r="100" spans="1:7" ht="18" customHeight="1">
      <c r="A100" s="127" t="s">
        <v>319</v>
      </c>
      <c r="B100" s="131">
        <v>1</v>
      </c>
      <c r="C100" s="146">
        <v>9</v>
      </c>
      <c r="D100" s="131">
        <v>1</v>
      </c>
      <c r="E100" s="146">
        <v>6</v>
      </c>
      <c r="F100" s="134">
        <f t="shared" si="5"/>
        <v>2</v>
      </c>
      <c r="G100" s="122"/>
    </row>
    <row r="101" spans="1:7" ht="18" customHeight="1">
      <c r="A101" s="127" t="s">
        <v>253</v>
      </c>
      <c r="B101" s="131">
        <v>5</v>
      </c>
      <c r="C101" s="146">
        <v>8.083333333333334</v>
      </c>
      <c r="D101" s="131">
        <v>0</v>
      </c>
      <c r="E101" s="146">
        <v>0</v>
      </c>
      <c r="F101" s="134">
        <f t="shared" si="5"/>
        <v>5</v>
      </c>
      <c r="G101" s="122"/>
    </row>
    <row r="102" spans="1:7" ht="18" customHeight="1">
      <c r="A102" s="127" t="s">
        <v>328</v>
      </c>
      <c r="B102" s="131">
        <v>1</v>
      </c>
      <c r="C102" s="146">
        <v>8</v>
      </c>
      <c r="D102" s="131">
        <v>0</v>
      </c>
      <c r="E102" s="146">
        <v>0</v>
      </c>
      <c r="F102" s="134">
        <f t="shared" si="5"/>
        <v>1</v>
      </c>
      <c r="G102" s="122"/>
    </row>
    <row r="103" spans="1:7" ht="18" customHeight="1">
      <c r="A103" s="127" t="s">
        <v>330</v>
      </c>
      <c r="B103" s="131">
        <v>7</v>
      </c>
      <c r="C103" s="146">
        <v>8</v>
      </c>
      <c r="D103" s="131">
        <v>0</v>
      </c>
      <c r="E103" s="146">
        <v>0</v>
      </c>
      <c r="F103" s="134">
        <f t="shared" si="5"/>
        <v>7</v>
      </c>
      <c r="G103" s="122"/>
    </row>
    <row r="104" spans="1:7" ht="18" customHeight="1">
      <c r="A104" s="127" t="s">
        <v>334</v>
      </c>
      <c r="B104" s="131">
        <v>1</v>
      </c>
      <c r="C104" s="146">
        <v>9</v>
      </c>
      <c r="D104" s="131">
        <v>1</v>
      </c>
      <c r="E104" s="146">
        <v>6.5</v>
      </c>
      <c r="F104" s="134">
        <f t="shared" si="5"/>
        <v>2</v>
      </c>
      <c r="G104" s="122"/>
    </row>
    <row r="105" spans="1:7" ht="18" customHeight="1">
      <c r="A105" s="127" t="s">
        <v>248</v>
      </c>
      <c r="B105" s="131">
        <v>1</v>
      </c>
      <c r="C105" s="146">
        <v>8</v>
      </c>
      <c r="D105" s="131">
        <v>0</v>
      </c>
      <c r="E105" s="146">
        <v>0</v>
      </c>
      <c r="F105" s="134">
        <f t="shared" si="5"/>
        <v>1</v>
      </c>
      <c r="G105" s="122"/>
    </row>
    <row r="106" spans="1:7" ht="28.5" customHeight="1">
      <c r="A106" s="30" t="s">
        <v>224</v>
      </c>
      <c r="B106" s="172">
        <f>SUM(B96:B105)</f>
        <v>30</v>
      </c>
      <c r="C106" s="221">
        <f>SUM(C96:C105)/10</f>
        <v>8.343333333333334</v>
      </c>
      <c r="D106" s="172">
        <f>SUM(D96:D105)</f>
        <v>3</v>
      </c>
      <c r="E106" s="221">
        <f>SUM(E96:E105)/3</f>
        <v>5.791666666666667</v>
      </c>
      <c r="F106" s="173">
        <f t="shared" si="5"/>
        <v>33</v>
      </c>
      <c r="G106" s="122"/>
    </row>
    <row r="108" ht="12.75">
      <c r="A108" s="153" t="s">
        <v>85</v>
      </c>
    </row>
    <row r="110" spans="1:7" s="11" customFormat="1" ht="60.75" customHeight="1">
      <c r="A110" s="24" t="s">
        <v>467</v>
      </c>
      <c r="B110" s="248" t="s">
        <v>483</v>
      </c>
      <c r="C110" s="249"/>
      <c r="D110" s="249"/>
      <c r="E110" s="249"/>
      <c r="F110" s="250"/>
      <c r="G110" s="44"/>
    </row>
    <row r="111" spans="1:6" s="11" customFormat="1" ht="39" customHeight="1">
      <c r="A111" s="287" t="s">
        <v>269</v>
      </c>
      <c r="B111" s="278" t="s">
        <v>460</v>
      </c>
      <c r="C111" s="279"/>
      <c r="D111" s="278" t="s">
        <v>461</v>
      </c>
      <c r="E111" s="279"/>
      <c r="F111" s="280" t="s">
        <v>439</v>
      </c>
    </row>
    <row r="112" spans="1:6" ht="24" customHeight="1">
      <c r="A112" s="287"/>
      <c r="B112" s="132" t="s">
        <v>438</v>
      </c>
      <c r="C112" s="133" t="s">
        <v>459</v>
      </c>
      <c r="D112" s="132" t="s">
        <v>438</v>
      </c>
      <c r="E112" s="133" t="s">
        <v>459</v>
      </c>
      <c r="F112" s="281"/>
    </row>
    <row r="113" spans="1:7" ht="18" customHeight="1">
      <c r="A113" s="127" t="s">
        <v>129</v>
      </c>
      <c r="B113" s="131">
        <v>2</v>
      </c>
      <c r="C113" s="146">
        <v>10.5</v>
      </c>
      <c r="D113" s="131">
        <v>0</v>
      </c>
      <c r="E113" s="146">
        <v>0</v>
      </c>
      <c r="F113" s="134">
        <f aca="true" t="shared" si="6" ref="F113:F125">B113+D113</f>
        <v>2</v>
      </c>
      <c r="G113" s="122"/>
    </row>
    <row r="114" spans="1:7" ht="18" customHeight="1">
      <c r="A114" s="127" t="s">
        <v>254</v>
      </c>
      <c r="B114" s="131">
        <v>19</v>
      </c>
      <c r="C114" s="146">
        <v>8.8</v>
      </c>
      <c r="D114" s="131">
        <v>0</v>
      </c>
      <c r="E114" s="146">
        <v>0</v>
      </c>
      <c r="F114" s="134">
        <f t="shared" si="6"/>
        <v>19</v>
      </c>
      <c r="G114" s="122"/>
    </row>
    <row r="115" spans="1:7" ht="18" customHeight="1">
      <c r="A115" s="127" t="s">
        <v>120</v>
      </c>
      <c r="B115" s="131">
        <v>4</v>
      </c>
      <c r="C115" s="146">
        <v>7.5</v>
      </c>
      <c r="D115" s="131">
        <v>0</v>
      </c>
      <c r="E115" s="146">
        <v>0</v>
      </c>
      <c r="F115" s="134">
        <f t="shared" si="6"/>
        <v>4</v>
      </c>
      <c r="G115" s="122"/>
    </row>
    <row r="116" spans="1:7" ht="18" customHeight="1">
      <c r="A116" s="127" t="s">
        <v>136</v>
      </c>
      <c r="B116" s="131">
        <v>1</v>
      </c>
      <c r="C116" s="146">
        <v>9</v>
      </c>
      <c r="D116" s="131">
        <v>0</v>
      </c>
      <c r="E116" s="146">
        <v>0</v>
      </c>
      <c r="F116" s="134">
        <f t="shared" si="6"/>
        <v>1</v>
      </c>
      <c r="G116" s="122"/>
    </row>
    <row r="117" spans="1:7" ht="18" customHeight="1">
      <c r="A117" s="127" t="s">
        <v>335</v>
      </c>
      <c r="B117" s="131">
        <v>1</v>
      </c>
      <c r="C117" s="146">
        <v>9</v>
      </c>
      <c r="D117" s="131">
        <v>2</v>
      </c>
      <c r="E117" s="146">
        <v>5.25</v>
      </c>
      <c r="F117" s="134">
        <f t="shared" si="6"/>
        <v>3</v>
      </c>
      <c r="G117" s="122"/>
    </row>
    <row r="118" spans="1:7" ht="18" customHeight="1">
      <c r="A118" s="127" t="s">
        <v>114</v>
      </c>
      <c r="B118" s="131">
        <v>3</v>
      </c>
      <c r="C118" s="146">
        <v>10.5</v>
      </c>
      <c r="D118" s="131">
        <v>0</v>
      </c>
      <c r="E118" s="146">
        <v>0</v>
      </c>
      <c r="F118" s="134">
        <f t="shared" si="6"/>
        <v>3</v>
      </c>
      <c r="G118" s="122"/>
    </row>
    <row r="119" spans="1:7" ht="18" customHeight="1">
      <c r="A119" s="127" t="s">
        <v>336</v>
      </c>
      <c r="B119" s="131">
        <v>5</v>
      </c>
      <c r="C119" s="146">
        <v>11</v>
      </c>
      <c r="D119" s="131">
        <v>0</v>
      </c>
      <c r="E119" s="146">
        <v>0</v>
      </c>
      <c r="F119" s="134">
        <f t="shared" si="6"/>
        <v>5</v>
      </c>
      <c r="G119" s="122"/>
    </row>
    <row r="120" spans="1:7" ht="18" customHeight="1">
      <c r="A120" s="127" t="s">
        <v>111</v>
      </c>
      <c r="B120" s="131">
        <v>1</v>
      </c>
      <c r="C120" s="146">
        <v>10</v>
      </c>
      <c r="D120" s="131">
        <v>0</v>
      </c>
      <c r="E120" s="146">
        <v>0</v>
      </c>
      <c r="F120" s="134">
        <f t="shared" si="6"/>
        <v>1</v>
      </c>
      <c r="G120" s="122"/>
    </row>
    <row r="121" spans="1:7" ht="18" customHeight="1">
      <c r="A121" s="127" t="s">
        <v>109</v>
      </c>
      <c r="B121" s="131">
        <v>3</v>
      </c>
      <c r="C121" s="146">
        <v>9</v>
      </c>
      <c r="D121" s="131">
        <v>0</v>
      </c>
      <c r="E121" s="146">
        <v>0</v>
      </c>
      <c r="F121" s="134">
        <f t="shared" si="6"/>
        <v>3</v>
      </c>
      <c r="G121" s="122"/>
    </row>
    <row r="122" spans="1:7" ht="18" customHeight="1">
      <c r="A122" s="127" t="s">
        <v>99</v>
      </c>
      <c r="B122" s="131">
        <v>3</v>
      </c>
      <c r="C122" s="146">
        <v>9.375</v>
      </c>
      <c r="D122" s="131">
        <v>1</v>
      </c>
      <c r="E122" s="146">
        <v>7</v>
      </c>
      <c r="F122" s="134">
        <f t="shared" si="6"/>
        <v>4</v>
      </c>
      <c r="G122" s="122"/>
    </row>
    <row r="123" spans="1:7" ht="18" customHeight="1">
      <c r="A123" s="127" t="s">
        <v>98</v>
      </c>
      <c r="B123" s="131">
        <v>1</v>
      </c>
      <c r="C123" s="146">
        <v>8</v>
      </c>
      <c r="D123" s="131">
        <v>4</v>
      </c>
      <c r="E123" s="146">
        <v>6</v>
      </c>
      <c r="F123" s="134">
        <f t="shared" si="6"/>
        <v>5</v>
      </c>
      <c r="G123" s="122"/>
    </row>
    <row r="124" spans="1:7" ht="18" customHeight="1">
      <c r="A124" s="127" t="s">
        <v>96</v>
      </c>
      <c r="B124" s="131">
        <v>1</v>
      </c>
      <c r="C124" s="146">
        <v>8.5</v>
      </c>
      <c r="D124" s="131">
        <v>0</v>
      </c>
      <c r="E124" s="146">
        <v>0</v>
      </c>
      <c r="F124" s="134">
        <f t="shared" si="6"/>
        <v>1</v>
      </c>
      <c r="G124" s="122"/>
    </row>
    <row r="125" spans="1:7" ht="28.5" customHeight="1">
      <c r="A125" s="30" t="s">
        <v>225</v>
      </c>
      <c r="B125" s="129">
        <v>44</v>
      </c>
      <c r="C125" s="147">
        <f>SUM(C113:C124)/12</f>
        <v>9.264583333333333</v>
      </c>
      <c r="D125" s="129">
        <v>7</v>
      </c>
      <c r="E125" s="147">
        <f>SUM(E113:E124)/3</f>
        <v>6.083333333333333</v>
      </c>
      <c r="F125" s="130">
        <f t="shared" si="6"/>
        <v>51</v>
      </c>
      <c r="G125" s="122"/>
    </row>
    <row r="126" ht="12.75">
      <c r="A126" s="102" t="s">
        <v>430</v>
      </c>
    </row>
    <row r="127" s="14" customFormat="1" ht="12.75"/>
    <row r="128" ht="12.75">
      <c r="A128" s="153" t="s">
        <v>93</v>
      </c>
    </row>
    <row r="130" spans="1:7" s="11" customFormat="1" ht="60.75" customHeight="1">
      <c r="A130" s="24" t="s">
        <v>467</v>
      </c>
      <c r="B130" s="248" t="s">
        <v>487</v>
      </c>
      <c r="C130" s="249"/>
      <c r="D130" s="249"/>
      <c r="E130" s="249"/>
      <c r="F130" s="250"/>
      <c r="G130" s="44"/>
    </row>
    <row r="131" spans="1:6" s="11" customFormat="1" ht="39" customHeight="1">
      <c r="A131" s="287" t="s">
        <v>269</v>
      </c>
      <c r="B131" s="278" t="s">
        <v>460</v>
      </c>
      <c r="C131" s="279"/>
      <c r="D131" s="278" t="s">
        <v>461</v>
      </c>
      <c r="E131" s="279"/>
      <c r="F131" s="280" t="s">
        <v>439</v>
      </c>
    </row>
    <row r="132" spans="1:6" ht="24" customHeight="1">
      <c r="A132" s="287"/>
      <c r="B132" s="132" t="s">
        <v>438</v>
      </c>
      <c r="C132" s="133" t="s">
        <v>459</v>
      </c>
      <c r="D132" s="132" t="s">
        <v>438</v>
      </c>
      <c r="E132" s="133" t="s">
        <v>459</v>
      </c>
      <c r="F132" s="281"/>
    </row>
    <row r="133" spans="1:7" ht="18" customHeight="1">
      <c r="A133" s="127" t="s">
        <v>255</v>
      </c>
      <c r="B133" s="131">
        <v>7</v>
      </c>
      <c r="C133" s="146">
        <v>8.833333333333334</v>
      </c>
      <c r="D133" s="131">
        <v>1</v>
      </c>
      <c r="E133" s="146">
        <v>5</v>
      </c>
      <c r="F133" s="134">
        <f>B133+D133</f>
        <v>8</v>
      </c>
      <c r="G133" s="122"/>
    </row>
    <row r="134" spans="1:7" ht="18" customHeight="1">
      <c r="A134" s="127" t="s">
        <v>168</v>
      </c>
      <c r="B134" s="131">
        <v>1</v>
      </c>
      <c r="C134" s="146">
        <v>8</v>
      </c>
      <c r="D134" s="131">
        <v>0</v>
      </c>
      <c r="E134" s="146">
        <v>0</v>
      </c>
      <c r="F134" s="134">
        <f>B134+D134</f>
        <v>1</v>
      </c>
      <c r="G134" s="122"/>
    </row>
    <row r="135" spans="1:7" ht="18" customHeight="1">
      <c r="A135" s="127" t="s">
        <v>154</v>
      </c>
      <c r="B135" s="131">
        <v>2</v>
      </c>
      <c r="C135" s="146">
        <v>9</v>
      </c>
      <c r="D135" s="131">
        <v>0</v>
      </c>
      <c r="E135" s="146">
        <v>0</v>
      </c>
      <c r="F135" s="134">
        <f>B135+D135</f>
        <v>2</v>
      </c>
      <c r="G135" s="122"/>
    </row>
    <row r="136" spans="1:7" ht="18" customHeight="1">
      <c r="A136" s="127" t="s">
        <v>230</v>
      </c>
      <c r="B136" s="170">
        <v>1</v>
      </c>
      <c r="C136" s="220">
        <v>9</v>
      </c>
      <c r="D136" s="170">
        <v>0</v>
      </c>
      <c r="E136" s="220">
        <v>0</v>
      </c>
      <c r="F136" s="222">
        <f>B136+D136</f>
        <v>1</v>
      </c>
      <c r="G136" s="122"/>
    </row>
    <row r="137" spans="1:7" ht="28.5" customHeight="1">
      <c r="A137" s="30" t="s">
        <v>226</v>
      </c>
      <c r="B137" s="172">
        <f>SUM(B133:B136)</f>
        <v>11</v>
      </c>
      <c r="C137" s="221">
        <f>SUM(C133:C136)/4</f>
        <v>8.708333333333334</v>
      </c>
      <c r="D137" s="172">
        <f>SUM(D133:D136)</f>
        <v>1</v>
      </c>
      <c r="E137" s="221">
        <f>SUM(E133:E136)</f>
        <v>5</v>
      </c>
      <c r="F137" s="173">
        <f>SUM(F133:F136)</f>
        <v>12</v>
      </c>
      <c r="G137" s="122"/>
    </row>
    <row r="140" spans="1:7" s="11" customFormat="1" ht="60.75" customHeight="1">
      <c r="A140" s="24" t="s">
        <v>467</v>
      </c>
      <c r="B140" s="248" t="s">
        <v>0</v>
      </c>
      <c r="C140" s="249"/>
      <c r="D140" s="249"/>
      <c r="E140" s="249"/>
      <c r="F140" s="250"/>
      <c r="G140" s="44"/>
    </row>
    <row r="141" spans="1:6" s="11" customFormat="1" ht="39" customHeight="1">
      <c r="A141" s="276" t="s">
        <v>269</v>
      </c>
      <c r="B141" s="278" t="s">
        <v>460</v>
      </c>
      <c r="C141" s="279"/>
      <c r="D141" s="278" t="s">
        <v>461</v>
      </c>
      <c r="E141" s="279"/>
      <c r="F141" s="280" t="s">
        <v>439</v>
      </c>
    </row>
    <row r="142" spans="1:6" ht="24" customHeight="1">
      <c r="A142" s="277"/>
      <c r="B142" s="132" t="s">
        <v>438</v>
      </c>
      <c r="C142" s="133" t="s">
        <v>459</v>
      </c>
      <c r="D142" s="132" t="s">
        <v>438</v>
      </c>
      <c r="E142" s="133" t="s">
        <v>459</v>
      </c>
      <c r="F142" s="281"/>
    </row>
    <row r="143" spans="1:7" ht="18" customHeight="1">
      <c r="A143" s="165" t="s">
        <v>143</v>
      </c>
      <c r="B143" s="131">
        <v>1</v>
      </c>
      <c r="C143" s="146">
        <v>8.5</v>
      </c>
      <c r="D143" s="131">
        <v>0</v>
      </c>
      <c r="E143" s="146">
        <v>0</v>
      </c>
      <c r="F143" s="134">
        <f aca="true" t="shared" si="7" ref="F143:F148">B143+D143</f>
        <v>1</v>
      </c>
      <c r="G143" s="122"/>
    </row>
    <row r="144" spans="1:7" ht="18" customHeight="1">
      <c r="A144" s="127" t="s">
        <v>142</v>
      </c>
      <c r="B144" s="131">
        <v>4</v>
      </c>
      <c r="C144" s="146">
        <v>8</v>
      </c>
      <c r="D144" s="131">
        <v>0</v>
      </c>
      <c r="E144" s="146">
        <v>0</v>
      </c>
      <c r="F144" s="134">
        <f t="shared" si="7"/>
        <v>4</v>
      </c>
      <c r="G144" s="122"/>
    </row>
    <row r="145" spans="1:7" ht="18" customHeight="1">
      <c r="A145" s="127" t="s">
        <v>139</v>
      </c>
      <c r="B145" s="131">
        <v>10</v>
      </c>
      <c r="C145" s="146">
        <v>8.2</v>
      </c>
      <c r="D145" s="131">
        <v>0</v>
      </c>
      <c r="E145" s="146">
        <v>0</v>
      </c>
      <c r="F145" s="134">
        <f t="shared" si="7"/>
        <v>10</v>
      </c>
      <c r="G145" s="122"/>
    </row>
    <row r="146" spans="1:7" ht="18" customHeight="1">
      <c r="A146" s="127" t="s">
        <v>256</v>
      </c>
      <c r="B146" s="131">
        <v>24</v>
      </c>
      <c r="C146" s="146">
        <v>9.125</v>
      </c>
      <c r="D146" s="131">
        <v>0</v>
      </c>
      <c r="E146" s="146">
        <v>0</v>
      </c>
      <c r="F146" s="134">
        <f t="shared" si="7"/>
        <v>24</v>
      </c>
      <c r="G146" s="122"/>
    </row>
    <row r="147" spans="1:7" ht="18" customHeight="1">
      <c r="A147" s="127" t="s">
        <v>340</v>
      </c>
      <c r="B147" s="131">
        <v>2</v>
      </c>
      <c r="C147" s="146">
        <v>8</v>
      </c>
      <c r="D147" s="131">
        <v>0</v>
      </c>
      <c r="E147" s="146">
        <v>0</v>
      </c>
      <c r="F147" s="134">
        <f t="shared" si="7"/>
        <v>2</v>
      </c>
      <c r="G147" s="122"/>
    </row>
    <row r="148" spans="1:7" ht="28.5" customHeight="1">
      <c r="A148" s="30" t="s">
        <v>182</v>
      </c>
      <c r="B148" s="172">
        <v>41</v>
      </c>
      <c r="C148" s="221">
        <f>SUM(C143:C147)/5</f>
        <v>8.365</v>
      </c>
      <c r="D148" s="172">
        <v>0</v>
      </c>
      <c r="E148" s="221">
        <v>0</v>
      </c>
      <c r="F148" s="173">
        <f t="shared" si="7"/>
        <v>41</v>
      </c>
      <c r="G148" s="122"/>
    </row>
    <row r="151" spans="1:7" s="11" customFormat="1" ht="60.75" customHeight="1">
      <c r="A151" s="24" t="s">
        <v>467</v>
      </c>
      <c r="B151" s="248" t="s">
        <v>11</v>
      </c>
      <c r="C151" s="249"/>
      <c r="D151" s="249"/>
      <c r="E151" s="249"/>
      <c r="F151" s="250"/>
      <c r="G151" s="44"/>
    </row>
    <row r="152" spans="1:6" s="11" customFormat="1" ht="39" customHeight="1">
      <c r="A152" s="276" t="s">
        <v>269</v>
      </c>
      <c r="B152" s="278" t="s">
        <v>460</v>
      </c>
      <c r="C152" s="279"/>
      <c r="D152" s="278" t="s">
        <v>461</v>
      </c>
      <c r="E152" s="279"/>
      <c r="F152" s="280" t="s">
        <v>439</v>
      </c>
    </row>
    <row r="153" spans="1:6" ht="24" customHeight="1">
      <c r="A153" s="277"/>
      <c r="B153" s="132" t="s">
        <v>438</v>
      </c>
      <c r="C153" s="133" t="s">
        <v>459</v>
      </c>
      <c r="D153" s="132" t="s">
        <v>438</v>
      </c>
      <c r="E153" s="133" t="s">
        <v>459</v>
      </c>
      <c r="F153" s="281"/>
    </row>
    <row r="154" spans="1:7" ht="18" customHeight="1">
      <c r="A154" s="165" t="s">
        <v>341</v>
      </c>
      <c r="B154" s="131">
        <v>0</v>
      </c>
      <c r="C154" s="146">
        <v>0</v>
      </c>
      <c r="D154" s="131">
        <v>1</v>
      </c>
      <c r="E154" s="146">
        <v>5</v>
      </c>
      <c r="F154" s="134">
        <f aca="true" t="shared" si="8" ref="F154:F170">B154+D154</f>
        <v>1</v>
      </c>
      <c r="G154" s="122"/>
    </row>
    <row r="155" spans="1:7" ht="18" customHeight="1">
      <c r="A155" s="127" t="s">
        <v>174</v>
      </c>
      <c r="B155" s="131">
        <v>1</v>
      </c>
      <c r="C155" s="146">
        <v>9</v>
      </c>
      <c r="D155" s="131">
        <v>1</v>
      </c>
      <c r="E155" s="146">
        <v>6</v>
      </c>
      <c r="F155" s="134">
        <f t="shared" si="8"/>
        <v>2</v>
      </c>
      <c r="G155" s="122"/>
    </row>
    <row r="156" spans="1:7" ht="18" customHeight="1">
      <c r="A156" s="127" t="s">
        <v>418</v>
      </c>
      <c r="B156" s="131">
        <v>1</v>
      </c>
      <c r="C156" s="146">
        <v>9</v>
      </c>
      <c r="D156" s="131">
        <v>0</v>
      </c>
      <c r="E156" s="146">
        <v>0</v>
      </c>
      <c r="F156" s="134">
        <f t="shared" si="8"/>
        <v>1</v>
      </c>
      <c r="G156" s="122"/>
    </row>
    <row r="157" spans="1:7" ht="18" customHeight="1">
      <c r="A157" s="127" t="s">
        <v>153</v>
      </c>
      <c r="B157" s="131">
        <v>1</v>
      </c>
      <c r="C157" s="146">
        <v>8</v>
      </c>
      <c r="D157" s="131">
        <v>1</v>
      </c>
      <c r="E157" s="146">
        <v>5</v>
      </c>
      <c r="F157" s="134">
        <f t="shared" si="8"/>
        <v>2</v>
      </c>
      <c r="G157" s="122"/>
    </row>
    <row r="158" spans="1:7" ht="18" customHeight="1">
      <c r="A158" s="127" t="s">
        <v>152</v>
      </c>
      <c r="B158" s="131">
        <v>8</v>
      </c>
      <c r="C158" s="146">
        <v>8.625</v>
      </c>
      <c r="D158" s="131">
        <v>1</v>
      </c>
      <c r="E158" s="146">
        <v>6</v>
      </c>
      <c r="F158" s="134">
        <f t="shared" si="8"/>
        <v>9</v>
      </c>
      <c r="G158" s="122"/>
    </row>
    <row r="159" spans="1:7" ht="18" customHeight="1">
      <c r="A159" s="127" t="s">
        <v>151</v>
      </c>
      <c r="B159" s="131">
        <v>4</v>
      </c>
      <c r="C159" s="146">
        <v>8.666666666666666</v>
      </c>
      <c r="D159" s="131">
        <v>1</v>
      </c>
      <c r="E159" s="146">
        <v>5</v>
      </c>
      <c r="F159" s="134">
        <f t="shared" si="8"/>
        <v>5</v>
      </c>
      <c r="G159" s="122"/>
    </row>
    <row r="160" spans="1:7" ht="18" customHeight="1">
      <c r="A160" s="127" t="s">
        <v>179</v>
      </c>
      <c r="B160" s="131">
        <v>0</v>
      </c>
      <c r="C160" s="146">
        <v>0</v>
      </c>
      <c r="D160" s="131">
        <v>2</v>
      </c>
      <c r="E160" s="146">
        <v>6</v>
      </c>
      <c r="F160" s="134">
        <f t="shared" si="8"/>
        <v>2</v>
      </c>
      <c r="G160" s="122"/>
    </row>
    <row r="161" spans="1:7" ht="18" customHeight="1">
      <c r="A161" s="127" t="s">
        <v>150</v>
      </c>
      <c r="B161" s="131">
        <v>6</v>
      </c>
      <c r="C161" s="146">
        <v>9</v>
      </c>
      <c r="D161" s="131">
        <v>6</v>
      </c>
      <c r="E161" s="146">
        <v>6.25</v>
      </c>
      <c r="F161" s="134">
        <f t="shared" si="8"/>
        <v>12</v>
      </c>
      <c r="G161" s="122"/>
    </row>
    <row r="162" spans="1:7" ht="18" customHeight="1">
      <c r="A162" s="127" t="s">
        <v>149</v>
      </c>
      <c r="B162" s="131">
        <v>0</v>
      </c>
      <c r="C162" s="146">
        <v>0</v>
      </c>
      <c r="D162" s="131">
        <v>1</v>
      </c>
      <c r="E162" s="146">
        <v>6.5</v>
      </c>
      <c r="F162" s="134">
        <f t="shared" si="8"/>
        <v>1</v>
      </c>
      <c r="G162" s="122"/>
    </row>
    <row r="163" spans="1:7" ht="18" customHeight="1">
      <c r="A163" s="127" t="s">
        <v>181</v>
      </c>
      <c r="B163" s="131">
        <v>0</v>
      </c>
      <c r="C163" s="146">
        <v>0</v>
      </c>
      <c r="D163" s="131">
        <v>1</v>
      </c>
      <c r="E163" s="146">
        <v>7.5</v>
      </c>
      <c r="F163" s="134">
        <f t="shared" si="8"/>
        <v>1</v>
      </c>
      <c r="G163" s="122"/>
    </row>
    <row r="164" spans="1:7" ht="18" customHeight="1">
      <c r="A164" s="127" t="s">
        <v>147</v>
      </c>
      <c r="B164" s="131">
        <v>1</v>
      </c>
      <c r="C164" s="146">
        <v>8</v>
      </c>
      <c r="D164" s="131">
        <v>0</v>
      </c>
      <c r="E164" s="146">
        <v>0</v>
      </c>
      <c r="F164" s="134">
        <f t="shared" si="8"/>
        <v>1</v>
      </c>
      <c r="G164" s="122"/>
    </row>
    <row r="165" spans="1:7" ht="18" customHeight="1">
      <c r="A165" s="127" t="s">
        <v>146</v>
      </c>
      <c r="B165" s="131">
        <v>1</v>
      </c>
      <c r="C165" s="146">
        <v>8</v>
      </c>
      <c r="D165" s="131">
        <v>0</v>
      </c>
      <c r="E165" s="146">
        <v>0</v>
      </c>
      <c r="F165" s="134">
        <f t="shared" si="8"/>
        <v>1</v>
      </c>
      <c r="G165" s="122"/>
    </row>
    <row r="166" spans="1:7" ht="18" customHeight="1">
      <c r="A166" s="127" t="s">
        <v>172</v>
      </c>
      <c r="B166" s="131">
        <v>1</v>
      </c>
      <c r="C166" s="146">
        <v>8</v>
      </c>
      <c r="D166" s="131">
        <v>0</v>
      </c>
      <c r="E166" s="146">
        <v>0</v>
      </c>
      <c r="F166" s="134">
        <f t="shared" si="8"/>
        <v>1</v>
      </c>
      <c r="G166" s="122"/>
    </row>
    <row r="167" spans="1:7" ht="18" customHeight="1">
      <c r="A167" s="127" t="s">
        <v>177</v>
      </c>
      <c r="B167" s="131">
        <v>0</v>
      </c>
      <c r="C167" s="146">
        <v>0</v>
      </c>
      <c r="D167" s="131">
        <v>1</v>
      </c>
      <c r="E167" s="146">
        <v>6.5</v>
      </c>
      <c r="F167" s="134">
        <f t="shared" si="8"/>
        <v>1</v>
      </c>
      <c r="G167" s="122"/>
    </row>
    <row r="168" spans="1:7" ht="18" customHeight="1">
      <c r="A168" s="127" t="s">
        <v>176</v>
      </c>
      <c r="B168" s="131">
        <v>0</v>
      </c>
      <c r="C168" s="146">
        <v>0</v>
      </c>
      <c r="D168" s="131">
        <v>1</v>
      </c>
      <c r="E168" s="146">
        <v>5</v>
      </c>
      <c r="F168" s="134">
        <f t="shared" si="8"/>
        <v>1</v>
      </c>
      <c r="G168" s="122"/>
    </row>
    <row r="169" spans="1:7" ht="18" customHeight="1">
      <c r="A169" s="127" t="s">
        <v>175</v>
      </c>
      <c r="B169" s="131">
        <v>0</v>
      </c>
      <c r="C169" s="146">
        <v>0</v>
      </c>
      <c r="D169" s="131">
        <v>1</v>
      </c>
      <c r="E169" s="146">
        <v>5</v>
      </c>
      <c r="F169" s="134">
        <f t="shared" si="8"/>
        <v>1</v>
      </c>
      <c r="G169" s="122"/>
    </row>
    <row r="170" spans="1:7" ht="28.5" customHeight="1">
      <c r="A170" s="30" t="s">
        <v>183</v>
      </c>
      <c r="B170" s="172">
        <f>SUM(B154:B169)</f>
        <v>24</v>
      </c>
      <c r="C170" s="221">
        <f>SUM(C154:C169)/9</f>
        <v>8.476851851851851</v>
      </c>
      <c r="D170" s="172">
        <f>SUM(D154:D169)</f>
        <v>18</v>
      </c>
      <c r="E170" s="221">
        <f>SUM(E154:E169)/12</f>
        <v>5.8125</v>
      </c>
      <c r="F170" s="173">
        <f t="shared" si="8"/>
        <v>42</v>
      </c>
      <c r="G170" s="122"/>
    </row>
    <row r="173" spans="1:7" s="11" customFormat="1" ht="60.75" customHeight="1">
      <c r="A173" s="24" t="s">
        <v>467</v>
      </c>
      <c r="B173" s="248" t="s">
        <v>12</v>
      </c>
      <c r="C173" s="249"/>
      <c r="D173" s="249"/>
      <c r="E173" s="249"/>
      <c r="F173" s="250"/>
      <c r="G173" s="44"/>
    </row>
    <row r="174" spans="1:6" s="11" customFormat="1" ht="39" customHeight="1">
      <c r="A174" s="287" t="s">
        <v>269</v>
      </c>
      <c r="B174" s="278" t="s">
        <v>460</v>
      </c>
      <c r="C174" s="279"/>
      <c r="D174" s="278" t="s">
        <v>461</v>
      </c>
      <c r="E174" s="279"/>
      <c r="F174" s="280" t="s">
        <v>439</v>
      </c>
    </row>
    <row r="175" spans="1:6" ht="24" customHeight="1">
      <c r="A175" s="287"/>
      <c r="B175" s="132" t="s">
        <v>438</v>
      </c>
      <c r="C175" s="133" t="s">
        <v>459</v>
      </c>
      <c r="D175" s="132" t="s">
        <v>438</v>
      </c>
      <c r="E175" s="133" t="s">
        <v>459</v>
      </c>
      <c r="F175" s="281"/>
    </row>
    <row r="176" spans="1:7" ht="18" customHeight="1">
      <c r="A176" s="127" t="s">
        <v>258</v>
      </c>
      <c r="B176" s="131">
        <v>7</v>
      </c>
      <c r="C176" s="146">
        <v>8.416666666666666</v>
      </c>
      <c r="D176" s="131">
        <v>0</v>
      </c>
      <c r="E176" s="146">
        <v>0</v>
      </c>
      <c r="F176" s="134">
        <f>B176+D176</f>
        <v>7</v>
      </c>
      <c r="G176" s="122"/>
    </row>
    <row r="177" spans="1:7" ht="28.5" customHeight="1">
      <c r="A177" s="30" t="s">
        <v>184</v>
      </c>
      <c r="B177" s="172">
        <f>SUM(B176)</f>
        <v>7</v>
      </c>
      <c r="C177" s="221">
        <f>SUM(C176)</f>
        <v>8.416666666666666</v>
      </c>
      <c r="D177" s="172">
        <f>SUM(D176)</f>
        <v>0</v>
      </c>
      <c r="E177" s="221">
        <f>SUM(E176)</f>
        <v>0</v>
      </c>
      <c r="F177" s="173">
        <f>SUM(F176)</f>
        <v>7</v>
      </c>
      <c r="G177" s="122"/>
    </row>
  </sheetData>
  <mergeCells count="52">
    <mergeCell ref="G2:G3"/>
    <mergeCell ref="B1:G1"/>
    <mergeCell ref="A2:A3"/>
    <mergeCell ref="B2:C2"/>
    <mergeCell ref="D2:E2"/>
    <mergeCell ref="F2:F3"/>
    <mergeCell ref="B173:F173"/>
    <mergeCell ref="A174:A175"/>
    <mergeCell ref="B174:C174"/>
    <mergeCell ref="D174:E174"/>
    <mergeCell ref="F174:F175"/>
    <mergeCell ref="B151:F151"/>
    <mergeCell ref="A152:A153"/>
    <mergeCell ref="B152:C152"/>
    <mergeCell ref="D152:E152"/>
    <mergeCell ref="F152:F153"/>
    <mergeCell ref="B140:F140"/>
    <mergeCell ref="A141:A142"/>
    <mergeCell ref="B141:C141"/>
    <mergeCell ref="D141:E141"/>
    <mergeCell ref="F141:F142"/>
    <mergeCell ref="B130:F130"/>
    <mergeCell ref="A131:A132"/>
    <mergeCell ref="B131:C131"/>
    <mergeCell ref="D131:E131"/>
    <mergeCell ref="F131:F132"/>
    <mergeCell ref="B93:F93"/>
    <mergeCell ref="A94:A95"/>
    <mergeCell ref="B94:C94"/>
    <mergeCell ref="D94:E94"/>
    <mergeCell ref="F94:F95"/>
    <mergeCell ref="F45:F46"/>
    <mergeCell ref="B64:F64"/>
    <mergeCell ref="A65:A66"/>
    <mergeCell ref="B65:C65"/>
    <mergeCell ref="D65:E65"/>
    <mergeCell ref="F65:F66"/>
    <mergeCell ref="B110:F110"/>
    <mergeCell ref="A111:A112"/>
    <mergeCell ref="B111:C111"/>
    <mergeCell ref="D111:E111"/>
    <mergeCell ref="F111:F112"/>
    <mergeCell ref="A41:G41"/>
    <mergeCell ref="B55:F55"/>
    <mergeCell ref="A56:A57"/>
    <mergeCell ref="B56:C56"/>
    <mergeCell ref="D56:E56"/>
    <mergeCell ref="F56:F57"/>
    <mergeCell ref="B44:F44"/>
    <mergeCell ref="A45:A46"/>
    <mergeCell ref="B45:C45"/>
    <mergeCell ref="D45:E45"/>
  </mergeCells>
  <printOptions/>
  <pageMargins left="0.75" right="0.75" top="1" bottom="1" header="0.5" footer="0.5"/>
  <pageSetup horizontalDpi="600" verticalDpi="600" orientation="portrait" paperSize="9" r:id="rId2"/>
  <rowBreaks count="3" manualBreakCount="3">
    <brk id="63" max="255" man="1"/>
    <brk id="92" max="255" man="1"/>
    <brk id="15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1"/>
  <sheetViews>
    <sheetView zoomScale="75" zoomScaleNormal="75" workbookViewId="0" topLeftCell="A1">
      <selection activeCell="F15" sqref="F15"/>
    </sheetView>
  </sheetViews>
  <sheetFormatPr defaultColWidth="9.140625" defaultRowHeight="12.75"/>
  <cols>
    <col min="1" max="1" width="22.7109375" style="0" customWidth="1"/>
    <col min="7" max="7" width="9.28125" style="0" bestFit="1" customWidth="1"/>
  </cols>
  <sheetData>
    <row r="1" spans="1:7" ht="57" customHeight="1">
      <c r="A1" s="126" t="s">
        <v>468</v>
      </c>
      <c r="B1" s="237" t="s">
        <v>48</v>
      </c>
      <c r="C1" s="238"/>
      <c r="D1" s="238"/>
      <c r="E1" s="238"/>
      <c r="F1" s="238"/>
      <c r="G1" s="252"/>
    </row>
    <row r="2" spans="1:8" s="122" customFormat="1" ht="30.75" customHeight="1">
      <c r="A2" s="255" t="s">
        <v>185</v>
      </c>
      <c r="B2" s="278" t="s">
        <v>460</v>
      </c>
      <c r="C2" s="279"/>
      <c r="D2" s="278" t="s">
        <v>461</v>
      </c>
      <c r="E2" s="279"/>
      <c r="F2" s="280" t="s">
        <v>439</v>
      </c>
      <c r="G2" s="286" t="s">
        <v>30</v>
      </c>
      <c r="H2" s="20"/>
    </row>
    <row r="3" spans="1:8" s="122" customFormat="1" ht="30.75" customHeight="1">
      <c r="A3" s="256"/>
      <c r="B3" s="132" t="s">
        <v>438</v>
      </c>
      <c r="C3" s="133" t="s">
        <v>459</v>
      </c>
      <c r="D3" s="132" t="s">
        <v>438</v>
      </c>
      <c r="E3" s="133" t="s">
        <v>459</v>
      </c>
      <c r="F3" s="281"/>
      <c r="G3" s="286"/>
      <c r="H3" s="20"/>
    </row>
    <row r="4" spans="1:8" s="175" customFormat="1" ht="15" customHeight="1">
      <c r="A4" s="3" t="s">
        <v>250</v>
      </c>
      <c r="B4" s="182">
        <f>B54</f>
        <v>5</v>
      </c>
      <c r="C4" s="188">
        <f>C54</f>
        <v>8</v>
      </c>
      <c r="D4" s="181">
        <f>D54</f>
        <v>1</v>
      </c>
      <c r="E4" s="188">
        <f>E54</f>
        <v>6</v>
      </c>
      <c r="F4" s="183">
        <f>F54</f>
        <v>6</v>
      </c>
      <c r="G4" s="208">
        <f>F4/$F$13*100</f>
        <v>5.607476635514018</v>
      </c>
      <c r="H4" s="20"/>
    </row>
    <row r="5" spans="1:8" s="175" customFormat="1" ht="15" customHeight="1">
      <c r="A5" s="3" t="s">
        <v>251</v>
      </c>
      <c r="B5" s="184">
        <f>B65</f>
        <v>7</v>
      </c>
      <c r="C5" s="189">
        <f>C65</f>
        <v>8.85</v>
      </c>
      <c r="D5" s="177">
        <f>D65</f>
        <v>1</v>
      </c>
      <c r="E5" s="189">
        <f>E65</f>
        <v>5.25</v>
      </c>
      <c r="F5" s="185">
        <f>F65</f>
        <v>8</v>
      </c>
      <c r="G5" s="209">
        <f aca="true" t="shared" si="0" ref="G5:G13">F5/$F$13*100</f>
        <v>7.476635514018691</v>
      </c>
      <c r="H5" s="20"/>
    </row>
    <row r="6" spans="1:8" s="175" customFormat="1" ht="15" customHeight="1">
      <c r="A6" s="3" t="s">
        <v>252</v>
      </c>
      <c r="B6" s="184">
        <f>B74</f>
        <v>11</v>
      </c>
      <c r="C6" s="189">
        <f>C74</f>
        <v>9.319444444444445</v>
      </c>
      <c r="D6" s="177">
        <f>D74</f>
        <v>0</v>
      </c>
      <c r="E6" s="189">
        <f>E74</f>
        <v>0</v>
      </c>
      <c r="F6" s="185">
        <f>F74</f>
        <v>11</v>
      </c>
      <c r="G6" s="209">
        <f t="shared" si="0"/>
        <v>10.2803738317757</v>
      </c>
      <c r="H6" s="20"/>
    </row>
    <row r="7" spans="1:8" s="175" customFormat="1" ht="15" customHeight="1">
      <c r="A7" s="3" t="s">
        <v>253</v>
      </c>
      <c r="B7" s="184">
        <f>B89</f>
        <v>16</v>
      </c>
      <c r="C7" s="189">
        <f>C89</f>
        <v>8.297142857142857</v>
      </c>
      <c r="D7" s="177">
        <f>D89</f>
        <v>2</v>
      </c>
      <c r="E7" s="189">
        <f>E89</f>
        <v>4</v>
      </c>
      <c r="F7" s="185">
        <f>F89</f>
        <v>18</v>
      </c>
      <c r="G7" s="209">
        <f t="shared" si="0"/>
        <v>16.822429906542055</v>
      </c>
      <c r="H7" s="20"/>
    </row>
    <row r="8" spans="1:8" s="175" customFormat="1" ht="15" customHeight="1">
      <c r="A8" s="3" t="s">
        <v>254</v>
      </c>
      <c r="B8" s="184">
        <f>B106</f>
        <v>13</v>
      </c>
      <c r="C8" s="189">
        <f>C106</f>
        <v>9.458333333333332</v>
      </c>
      <c r="D8" s="177">
        <f>D106</f>
        <v>4</v>
      </c>
      <c r="E8" s="189">
        <f>E106</f>
        <v>6.6875</v>
      </c>
      <c r="F8" s="185">
        <f>F106</f>
        <v>17</v>
      </c>
      <c r="G8" s="209">
        <f t="shared" si="0"/>
        <v>15.887850467289718</v>
      </c>
      <c r="H8" s="20"/>
    </row>
    <row r="9" spans="1:8" s="175" customFormat="1" ht="15" customHeight="1">
      <c r="A9" s="3" t="s">
        <v>255</v>
      </c>
      <c r="B9" s="184">
        <f>B121</f>
        <v>22</v>
      </c>
      <c r="C9" s="189">
        <f>C121</f>
        <v>8.704545454545455</v>
      </c>
      <c r="D9" s="177">
        <f>D121</f>
        <v>5</v>
      </c>
      <c r="E9" s="189">
        <f>E121</f>
        <v>4.833333333333333</v>
      </c>
      <c r="F9" s="185">
        <f>F121</f>
        <v>27</v>
      </c>
      <c r="G9" s="209">
        <f t="shared" si="0"/>
        <v>25.233644859813083</v>
      </c>
      <c r="H9" s="20"/>
    </row>
    <row r="10" spans="1:8" s="175" customFormat="1" ht="15" customHeight="1">
      <c r="A10" s="3" t="s">
        <v>256</v>
      </c>
      <c r="B10" s="184">
        <f>B133</f>
        <v>13</v>
      </c>
      <c r="C10" s="189">
        <f>C133</f>
        <v>9.825</v>
      </c>
      <c r="D10" s="177">
        <f>D133</f>
        <v>0</v>
      </c>
      <c r="E10" s="189">
        <f>E133</f>
        <v>0</v>
      </c>
      <c r="F10" s="185">
        <f>F133</f>
        <v>13</v>
      </c>
      <c r="G10" s="209">
        <f t="shared" si="0"/>
        <v>12.149532710280374</v>
      </c>
      <c r="H10" s="20"/>
    </row>
    <row r="11" spans="1:7" s="175" customFormat="1" ht="15" customHeight="1">
      <c r="A11" s="3" t="s">
        <v>257</v>
      </c>
      <c r="B11" s="184">
        <f>B142</f>
        <v>5</v>
      </c>
      <c r="C11" s="189">
        <f>C142</f>
        <v>10.166666666666666</v>
      </c>
      <c r="D11" s="177">
        <f>D142</f>
        <v>1</v>
      </c>
      <c r="E11" s="189">
        <f>E142</f>
        <v>6.5</v>
      </c>
      <c r="F11" s="185">
        <f>F142</f>
        <v>6</v>
      </c>
      <c r="G11" s="209">
        <f t="shared" si="0"/>
        <v>5.607476635514018</v>
      </c>
    </row>
    <row r="12" spans="1:7" s="175" customFormat="1" ht="15" customHeight="1">
      <c r="A12" s="3" t="s">
        <v>258</v>
      </c>
      <c r="B12" s="186">
        <f>B150</f>
        <v>0</v>
      </c>
      <c r="C12" s="190">
        <f>C150</f>
        <v>0</v>
      </c>
      <c r="D12" s="178">
        <f>D150</f>
        <v>1</v>
      </c>
      <c r="E12" s="190">
        <f>E150</f>
        <v>7</v>
      </c>
      <c r="F12" s="187">
        <f>F150</f>
        <v>1</v>
      </c>
      <c r="G12" s="210">
        <f t="shared" si="0"/>
        <v>0.9345794392523363</v>
      </c>
    </row>
    <row r="13" spans="1:7" s="176" customFormat="1" ht="18" customHeight="1">
      <c r="A13" s="4" t="s">
        <v>259</v>
      </c>
      <c r="B13" s="179">
        <f>SUM(B4:B12)</f>
        <v>92</v>
      </c>
      <c r="C13" s="191">
        <f>SUM(C4:C12)/8</f>
        <v>9.077641594516596</v>
      </c>
      <c r="D13" s="179">
        <f>SUM(D4:D12)</f>
        <v>15</v>
      </c>
      <c r="E13" s="191">
        <f>SUM(E4:E12)/7</f>
        <v>5.75297619047619</v>
      </c>
      <c r="F13" s="179">
        <f>SUM(F4:F12)</f>
        <v>107</v>
      </c>
      <c r="G13" s="211">
        <f t="shared" si="0"/>
        <v>100</v>
      </c>
    </row>
    <row r="15" ht="12.75">
      <c r="A15" s="124" t="s">
        <v>25</v>
      </c>
    </row>
    <row r="21" spans="3:4" ht="12.75">
      <c r="C21" t="s">
        <v>7</v>
      </c>
      <c r="D21" t="s">
        <v>8</v>
      </c>
    </row>
    <row r="22" spans="2:4" ht="12.75">
      <c r="B22" s="64" t="s">
        <v>250</v>
      </c>
      <c r="C22" s="207">
        <f>B4</f>
        <v>5</v>
      </c>
      <c r="D22" s="207">
        <f>D4</f>
        <v>1</v>
      </c>
    </row>
    <row r="23" spans="2:4" ht="12.75">
      <c r="B23" s="64" t="s">
        <v>251</v>
      </c>
      <c r="C23" s="207">
        <f aca="true" t="shared" si="1" ref="C23:C30">B5</f>
        <v>7</v>
      </c>
      <c r="D23" s="207">
        <f aca="true" t="shared" si="2" ref="D23:D30">D5</f>
        <v>1</v>
      </c>
    </row>
    <row r="24" spans="2:4" ht="12.75">
      <c r="B24" s="64" t="s">
        <v>252</v>
      </c>
      <c r="C24" s="207">
        <f t="shared" si="1"/>
        <v>11</v>
      </c>
      <c r="D24" s="207">
        <f t="shared" si="2"/>
        <v>0</v>
      </c>
    </row>
    <row r="25" spans="2:4" ht="12.75">
      <c r="B25" s="64" t="s">
        <v>253</v>
      </c>
      <c r="C25" s="207">
        <f t="shared" si="1"/>
        <v>16</v>
      </c>
      <c r="D25" s="207">
        <f t="shared" si="2"/>
        <v>2</v>
      </c>
    </row>
    <row r="26" spans="2:4" ht="12.75">
      <c r="B26" s="64" t="s">
        <v>254</v>
      </c>
      <c r="C26" s="207">
        <f t="shared" si="1"/>
        <v>13</v>
      </c>
      <c r="D26" s="207">
        <f t="shared" si="2"/>
        <v>4</v>
      </c>
    </row>
    <row r="27" spans="2:4" ht="12.75">
      <c r="B27" s="64" t="s">
        <v>255</v>
      </c>
      <c r="C27" s="207">
        <f t="shared" si="1"/>
        <v>22</v>
      </c>
      <c r="D27" s="207">
        <f t="shared" si="2"/>
        <v>5</v>
      </c>
    </row>
    <row r="28" spans="2:4" ht="12.75">
      <c r="B28" s="64" t="s">
        <v>256</v>
      </c>
      <c r="C28" s="207">
        <f t="shared" si="1"/>
        <v>13</v>
      </c>
      <c r="D28" s="207">
        <f t="shared" si="2"/>
        <v>0</v>
      </c>
    </row>
    <row r="29" spans="2:4" ht="12.75">
      <c r="B29" s="64" t="s">
        <v>257</v>
      </c>
      <c r="C29" s="207">
        <f t="shared" si="1"/>
        <v>5</v>
      </c>
      <c r="D29" s="207">
        <f t="shared" si="2"/>
        <v>1</v>
      </c>
    </row>
    <row r="30" spans="2:4" ht="12.75">
      <c r="B30" s="64" t="s">
        <v>258</v>
      </c>
      <c r="C30" s="207">
        <f t="shared" si="1"/>
        <v>0</v>
      </c>
      <c r="D30" s="207">
        <f t="shared" si="2"/>
        <v>1</v>
      </c>
    </row>
    <row r="36" spans="1:8" s="163" customFormat="1" ht="27" customHeight="1">
      <c r="A36" s="285" t="s">
        <v>272</v>
      </c>
      <c r="B36" s="285"/>
      <c r="C36" s="285"/>
      <c r="D36" s="285"/>
      <c r="E36" s="285"/>
      <c r="F36" s="285"/>
      <c r="G36" s="285"/>
      <c r="H36" s="180"/>
    </row>
    <row r="46" spans="1:8" s="163" customFormat="1" ht="27" customHeight="1">
      <c r="A46" s="285" t="s">
        <v>272</v>
      </c>
      <c r="B46" s="285"/>
      <c r="C46" s="285"/>
      <c r="D46" s="285"/>
      <c r="E46" s="285"/>
      <c r="F46" s="285"/>
      <c r="G46" s="285"/>
      <c r="H46" s="180"/>
    </row>
    <row r="48" spans="1:7" s="11" customFormat="1" ht="60.75" customHeight="1">
      <c r="A48" s="24" t="s">
        <v>468</v>
      </c>
      <c r="B48" s="248" t="s">
        <v>466</v>
      </c>
      <c r="C48" s="249"/>
      <c r="D48" s="249"/>
      <c r="E48" s="249"/>
      <c r="F48" s="250"/>
      <c r="G48" s="44"/>
    </row>
    <row r="49" spans="1:6" s="11" customFormat="1" ht="39" customHeight="1">
      <c r="A49" s="287" t="s">
        <v>269</v>
      </c>
      <c r="B49" s="278" t="s">
        <v>460</v>
      </c>
      <c r="C49" s="279"/>
      <c r="D49" s="278" t="s">
        <v>461</v>
      </c>
      <c r="E49" s="279"/>
      <c r="F49" s="280" t="s">
        <v>439</v>
      </c>
    </row>
    <row r="50" spans="1:6" ht="24" customHeight="1">
      <c r="A50" s="287"/>
      <c r="B50" s="132" t="s">
        <v>438</v>
      </c>
      <c r="C50" s="133" t="s">
        <v>459</v>
      </c>
      <c r="D50" s="132" t="s">
        <v>438</v>
      </c>
      <c r="E50" s="133" t="s">
        <v>459</v>
      </c>
      <c r="F50" s="281"/>
    </row>
    <row r="51" spans="1:7" ht="18" customHeight="1">
      <c r="A51" s="127" t="s">
        <v>365</v>
      </c>
      <c r="B51" s="131">
        <v>2</v>
      </c>
      <c r="C51" s="146">
        <v>8</v>
      </c>
      <c r="D51" s="131">
        <v>0</v>
      </c>
      <c r="E51" s="146">
        <v>0</v>
      </c>
      <c r="F51" s="134">
        <f>B51+D51</f>
        <v>2</v>
      </c>
      <c r="G51" s="122"/>
    </row>
    <row r="52" spans="1:7" ht="18" customHeight="1">
      <c r="A52" s="127" t="s">
        <v>190</v>
      </c>
      <c r="B52" s="131">
        <v>1</v>
      </c>
      <c r="C52" s="146">
        <v>8</v>
      </c>
      <c r="D52" s="131">
        <v>0</v>
      </c>
      <c r="E52" s="146">
        <v>0</v>
      </c>
      <c r="F52" s="134">
        <f>B52+D52</f>
        <v>1</v>
      </c>
      <c r="G52" s="122"/>
    </row>
    <row r="53" spans="1:7" ht="18" customHeight="1">
      <c r="A53" s="127" t="s">
        <v>250</v>
      </c>
      <c r="B53" s="131">
        <v>2</v>
      </c>
      <c r="C53" s="146">
        <v>8</v>
      </c>
      <c r="D53" s="131">
        <v>1</v>
      </c>
      <c r="E53" s="146">
        <v>6</v>
      </c>
      <c r="F53" s="134">
        <f>B53+D53</f>
        <v>3</v>
      </c>
      <c r="G53" s="122"/>
    </row>
    <row r="54" spans="1:7" ht="28.5" customHeight="1">
      <c r="A54" s="30" t="s">
        <v>270</v>
      </c>
      <c r="B54" s="129">
        <f>SUM(B51:B53)</f>
        <v>5</v>
      </c>
      <c r="C54" s="147">
        <f>SUM(C51:C53)/3</f>
        <v>8</v>
      </c>
      <c r="D54" s="129">
        <f>SUM(D51:D53)</f>
        <v>1</v>
      </c>
      <c r="E54" s="147">
        <f>SUM(E51:E53)</f>
        <v>6</v>
      </c>
      <c r="F54" s="130">
        <f>B54+D54</f>
        <v>6</v>
      </c>
      <c r="G54" s="122"/>
    </row>
    <row r="57" spans="1:7" s="11" customFormat="1" ht="60.75" customHeight="1">
      <c r="A57" s="24" t="s">
        <v>468</v>
      </c>
      <c r="B57" s="248" t="s">
        <v>473</v>
      </c>
      <c r="C57" s="249"/>
      <c r="D57" s="249"/>
      <c r="E57" s="249"/>
      <c r="F57" s="250"/>
      <c r="G57" s="44"/>
    </row>
    <row r="58" spans="1:6" s="11" customFormat="1" ht="39" customHeight="1">
      <c r="A58" s="287" t="s">
        <v>269</v>
      </c>
      <c r="B58" s="278" t="s">
        <v>460</v>
      </c>
      <c r="C58" s="279"/>
      <c r="D58" s="278" t="s">
        <v>461</v>
      </c>
      <c r="E58" s="279"/>
      <c r="F58" s="280" t="s">
        <v>439</v>
      </c>
    </row>
    <row r="59" spans="1:6" ht="24" customHeight="1">
      <c r="A59" s="287"/>
      <c r="B59" s="132" t="s">
        <v>438</v>
      </c>
      <c r="C59" s="133" t="s">
        <v>459</v>
      </c>
      <c r="D59" s="132" t="s">
        <v>438</v>
      </c>
      <c r="E59" s="133" t="s">
        <v>459</v>
      </c>
      <c r="F59" s="281"/>
    </row>
    <row r="60" spans="1:7" ht="18" customHeight="1">
      <c r="A60" s="127" t="s">
        <v>203</v>
      </c>
      <c r="B60" s="131">
        <v>1</v>
      </c>
      <c r="C60" s="146">
        <v>9</v>
      </c>
      <c r="D60" s="131">
        <v>0</v>
      </c>
      <c r="E60" s="146">
        <v>0</v>
      </c>
      <c r="F60" s="134">
        <f aca="true" t="shared" si="3" ref="F60:F65">B60+D60</f>
        <v>1</v>
      </c>
      <c r="G60" s="122"/>
    </row>
    <row r="61" spans="1:7" ht="18" customHeight="1">
      <c r="A61" s="127" t="s">
        <v>251</v>
      </c>
      <c r="B61" s="131">
        <v>2</v>
      </c>
      <c r="C61" s="146">
        <v>8.25</v>
      </c>
      <c r="D61" s="131">
        <v>1</v>
      </c>
      <c r="E61" s="146">
        <v>5.25</v>
      </c>
      <c r="F61" s="134">
        <f t="shared" si="3"/>
        <v>3</v>
      </c>
      <c r="G61" s="122"/>
    </row>
    <row r="62" spans="1:7" ht="18" customHeight="1">
      <c r="A62" s="127" t="s">
        <v>212</v>
      </c>
      <c r="B62" s="131">
        <v>1</v>
      </c>
      <c r="C62" s="146">
        <v>9</v>
      </c>
      <c r="D62" s="131">
        <v>0</v>
      </c>
      <c r="E62" s="146">
        <v>0</v>
      </c>
      <c r="F62" s="134">
        <f t="shared" si="3"/>
        <v>1</v>
      </c>
      <c r="G62" s="122"/>
    </row>
    <row r="63" spans="1:7" ht="18" customHeight="1">
      <c r="A63" s="127" t="s">
        <v>214</v>
      </c>
      <c r="B63" s="131">
        <v>1</v>
      </c>
      <c r="C63" s="146">
        <v>9</v>
      </c>
      <c r="D63" s="131">
        <v>0</v>
      </c>
      <c r="E63" s="146">
        <v>0</v>
      </c>
      <c r="F63" s="134">
        <f t="shared" si="3"/>
        <v>1</v>
      </c>
      <c r="G63" s="122"/>
    </row>
    <row r="64" spans="1:7" ht="18" customHeight="1">
      <c r="A64" s="127" t="s">
        <v>243</v>
      </c>
      <c r="B64" s="131">
        <v>2</v>
      </c>
      <c r="C64" s="146">
        <v>9</v>
      </c>
      <c r="D64" s="131">
        <v>0</v>
      </c>
      <c r="E64" s="146">
        <v>0</v>
      </c>
      <c r="F64" s="134">
        <f t="shared" si="3"/>
        <v>2</v>
      </c>
      <c r="G64" s="122"/>
    </row>
    <row r="65" spans="1:7" ht="28.5" customHeight="1">
      <c r="A65" s="30" t="s">
        <v>271</v>
      </c>
      <c r="B65" s="129">
        <v>7</v>
      </c>
      <c r="C65" s="147">
        <f>SUM(C60:C64)/5</f>
        <v>8.85</v>
      </c>
      <c r="D65" s="129">
        <v>1</v>
      </c>
      <c r="E65" s="147">
        <v>5.25</v>
      </c>
      <c r="F65" s="130">
        <f t="shared" si="3"/>
        <v>8</v>
      </c>
      <c r="G65" s="122"/>
    </row>
    <row r="68" spans="1:7" s="11" customFormat="1" ht="60.75" customHeight="1">
      <c r="A68" s="24" t="s">
        <v>468</v>
      </c>
      <c r="B68" s="248" t="s">
        <v>477</v>
      </c>
      <c r="C68" s="249"/>
      <c r="D68" s="249"/>
      <c r="E68" s="249"/>
      <c r="F68" s="250"/>
      <c r="G68" s="44"/>
    </row>
    <row r="69" spans="1:6" s="11" customFormat="1" ht="39" customHeight="1">
      <c r="A69" s="287" t="s">
        <v>269</v>
      </c>
      <c r="B69" s="278" t="s">
        <v>460</v>
      </c>
      <c r="C69" s="279"/>
      <c r="D69" s="278" t="s">
        <v>461</v>
      </c>
      <c r="E69" s="279"/>
      <c r="F69" s="280" t="s">
        <v>439</v>
      </c>
    </row>
    <row r="70" spans="1:6" ht="24" customHeight="1">
      <c r="A70" s="287"/>
      <c r="B70" s="132" t="s">
        <v>438</v>
      </c>
      <c r="C70" s="133" t="s">
        <v>459</v>
      </c>
      <c r="D70" s="132" t="s">
        <v>438</v>
      </c>
      <c r="E70" s="133" t="s">
        <v>459</v>
      </c>
      <c r="F70" s="281"/>
    </row>
    <row r="71" spans="1:7" ht="18" customHeight="1">
      <c r="A71" s="127" t="s">
        <v>247</v>
      </c>
      <c r="B71" s="131">
        <v>2</v>
      </c>
      <c r="C71" s="146">
        <v>8</v>
      </c>
      <c r="D71" s="131">
        <v>0</v>
      </c>
      <c r="E71" s="146">
        <v>0</v>
      </c>
      <c r="F71" s="134">
        <f>B71+D71</f>
        <v>2</v>
      </c>
      <c r="G71" s="122"/>
    </row>
    <row r="72" spans="1:7" ht="18" customHeight="1">
      <c r="A72" s="127" t="s">
        <v>288</v>
      </c>
      <c r="B72" s="131">
        <v>3</v>
      </c>
      <c r="C72" s="146">
        <v>7.833333333333333</v>
      </c>
      <c r="D72" s="131">
        <v>0</v>
      </c>
      <c r="E72" s="146">
        <v>0</v>
      </c>
      <c r="F72" s="134">
        <f>B72+D72</f>
        <v>3</v>
      </c>
      <c r="G72" s="122"/>
    </row>
    <row r="73" spans="1:7" ht="18" customHeight="1">
      <c r="A73" s="127" t="s">
        <v>294</v>
      </c>
      <c r="B73" s="131">
        <v>6</v>
      </c>
      <c r="C73" s="146">
        <v>12.125</v>
      </c>
      <c r="D73" s="131">
        <v>0</v>
      </c>
      <c r="E73" s="146">
        <v>0</v>
      </c>
      <c r="F73" s="134">
        <f>B73+D73</f>
        <v>6</v>
      </c>
      <c r="G73" s="122"/>
    </row>
    <row r="74" spans="1:7" ht="28.5" customHeight="1">
      <c r="A74" s="30" t="s">
        <v>223</v>
      </c>
      <c r="B74" s="129">
        <v>11</v>
      </c>
      <c r="C74" s="147">
        <f>SUM(C71:C73)/3</f>
        <v>9.319444444444445</v>
      </c>
      <c r="D74" s="129">
        <v>0</v>
      </c>
      <c r="E74" s="147">
        <v>0</v>
      </c>
      <c r="F74" s="130">
        <f>B74+D74</f>
        <v>11</v>
      </c>
      <c r="G74" s="122"/>
    </row>
    <row r="76" ht="12.75">
      <c r="A76" s="153" t="s">
        <v>60</v>
      </c>
    </row>
    <row r="78" spans="1:7" s="11" customFormat="1" ht="60.75" customHeight="1">
      <c r="A78" s="24" t="s">
        <v>468</v>
      </c>
      <c r="B78" s="248" t="s">
        <v>478</v>
      </c>
      <c r="C78" s="249"/>
      <c r="D78" s="249"/>
      <c r="E78" s="249"/>
      <c r="F78" s="250"/>
      <c r="G78" s="44"/>
    </row>
    <row r="79" spans="1:6" s="11" customFormat="1" ht="39" customHeight="1">
      <c r="A79" s="276" t="s">
        <v>269</v>
      </c>
      <c r="B79" s="278" t="s">
        <v>460</v>
      </c>
      <c r="C79" s="279"/>
      <c r="D79" s="278" t="s">
        <v>461</v>
      </c>
      <c r="E79" s="279"/>
      <c r="F79" s="280" t="s">
        <v>439</v>
      </c>
    </row>
    <row r="80" spans="1:6" ht="24" customHeight="1">
      <c r="A80" s="277"/>
      <c r="B80" s="132" t="s">
        <v>438</v>
      </c>
      <c r="C80" s="133" t="s">
        <v>459</v>
      </c>
      <c r="D80" s="132" t="s">
        <v>438</v>
      </c>
      <c r="E80" s="133" t="s">
        <v>459</v>
      </c>
      <c r="F80" s="281"/>
    </row>
    <row r="81" spans="1:7" ht="18" customHeight="1">
      <c r="A81" s="165" t="s">
        <v>304</v>
      </c>
      <c r="B81" s="131">
        <v>2</v>
      </c>
      <c r="C81" s="146">
        <v>7.5</v>
      </c>
      <c r="D81" s="131">
        <v>0</v>
      </c>
      <c r="E81" s="146">
        <v>0</v>
      </c>
      <c r="F81" s="134">
        <f>B81+D81</f>
        <v>2</v>
      </c>
      <c r="G81" s="122"/>
    </row>
    <row r="82" spans="1:7" ht="18" customHeight="1">
      <c r="A82" s="127" t="s">
        <v>307</v>
      </c>
      <c r="B82" s="131">
        <v>1</v>
      </c>
      <c r="C82" s="146">
        <v>7.5</v>
      </c>
      <c r="D82" s="131">
        <v>0</v>
      </c>
      <c r="E82" s="146">
        <v>0</v>
      </c>
      <c r="F82" s="134">
        <f aca="true" t="shared" si="4" ref="F82:F89">B82+D82</f>
        <v>1</v>
      </c>
      <c r="G82" s="122"/>
    </row>
    <row r="83" spans="1:7" ht="18" customHeight="1">
      <c r="A83" s="127" t="s">
        <v>308</v>
      </c>
      <c r="B83" s="131">
        <v>3</v>
      </c>
      <c r="C83" s="146">
        <v>8.25</v>
      </c>
      <c r="D83" s="131">
        <v>0</v>
      </c>
      <c r="E83" s="146">
        <v>0</v>
      </c>
      <c r="F83" s="134">
        <f t="shared" si="4"/>
        <v>3</v>
      </c>
      <c r="G83" s="122"/>
    </row>
    <row r="84" spans="1:7" ht="18" customHeight="1">
      <c r="A84" s="127" t="s">
        <v>311</v>
      </c>
      <c r="B84" s="131">
        <v>1</v>
      </c>
      <c r="C84" s="146">
        <v>8.5</v>
      </c>
      <c r="D84" s="131">
        <v>0</v>
      </c>
      <c r="E84" s="146">
        <v>0</v>
      </c>
      <c r="F84" s="134">
        <f t="shared" si="4"/>
        <v>1</v>
      </c>
      <c r="G84" s="122"/>
    </row>
    <row r="85" spans="1:7" ht="18" customHeight="1">
      <c r="A85" s="127" t="s">
        <v>313</v>
      </c>
      <c r="B85" s="131">
        <v>2</v>
      </c>
      <c r="C85" s="146">
        <v>8.5</v>
      </c>
      <c r="D85" s="131">
        <v>0</v>
      </c>
      <c r="E85" s="146">
        <v>0</v>
      </c>
      <c r="F85" s="134">
        <f t="shared" si="4"/>
        <v>2</v>
      </c>
      <c r="G85" s="122"/>
    </row>
    <row r="86" spans="1:7" ht="18" customHeight="1">
      <c r="A86" s="127" t="s">
        <v>253</v>
      </c>
      <c r="B86" s="131">
        <v>4</v>
      </c>
      <c r="C86" s="146">
        <v>8.33</v>
      </c>
      <c r="D86" s="131">
        <v>1</v>
      </c>
      <c r="E86" s="146">
        <v>4</v>
      </c>
      <c r="F86" s="134">
        <f t="shared" si="4"/>
        <v>5</v>
      </c>
      <c r="G86" s="122"/>
    </row>
    <row r="87" spans="1:7" ht="18" customHeight="1">
      <c r="A87" s="127" t="s">
        <v>330</v>
      </c>
      <c r="B87" s="131">
        <v>3</v>
      </c>
      <c r="C87" s="146">
        <v>9.5</v>
      </c>
      <c r="D87" s="131">
        <v>0</v>
      </c>
      <c r="E87" s="146">
        <v>0</v>
      </c>
      <c r="F87" s="134">
        <f t="shared" si="4"/>
        <v>3</v>
      </c>
      <c r="G87" s="122"/>
    </row>
    <row r="88" spans="1:7" ht="18" customHeight="1">
      <c r="A88" s="127" t="s">
        <v>333</v>
      </c>
      <c r="B88" s="131">
        <v>0</v>
      </c>
      <c r="C88" s="146">
        <v>0</v>
      </c>
      <c r="D88" s="131">
        <v>1</v>
      </c>
      <c r="E88" s="146">
        <v>4</v>
      </c>
      <c r="F88" s="134">
        <f t="shared" si="4"/>
        <v>1</v>
      </c>
      <c r="G88" s="122"/>
    </row>
    <row r="89" spans="1:7" ht="28.5" customHeight="1">
      <c r="A89" s="30" t="s">
        <v>224</v>
      </c>
      <c r="B89" s="129">
        <v>16</v>
      </c>
      <c r="C89" s="147">
        <f>SUM(C81:C88)/7</f>
        <v>8.297142857142857</v>
      </c>
      <c r="D89" s="129">
        <v>2</v>
      </c>
      <c r="E89" s="147">
        <f>SUM(E81:E88)/2</f>
        <v>4</v>
      </c>
      <c r="F89" s="130">
        <f t="shared" si="4"/>
        <v>18</v>
      </c>
      <c r="G89" s="122"/>
    </row>
    <row r="91" ht="12.75">
      <c r="A91" s="153" t="s">
        <v>89</v>
      </c>
    </row>
    <row r="92" ht="12.75">
      <c r="A92" s="153" t="s">
        <v>85</v>
      </c>
    </row>
    <row r="94" spans="1:7" s="11" customFormat="1" ht="60.75" customHeight="1">
      <c r="A94" s="24" t="s">
        <v>468</v>
      </c>
      <c r="B94" s="248" t="s">
        <v>484</v>
      </c>
      <c r="C94" s="249"/>
      <c r="D94" s="249"/>
      <c r="E94" s="249"/>
      <c r="F94" s="250"/>
      <c r="G94" s="44"/>
    </row>
    <row r="95" spans="1:6" s="11" customFormat="1" ht="39" customHeight="1">
      <c r="A95" s="287" t="s">
        <v>269</v>
      </c>
      <c r="B95" s="278" t="s">
        <v>460</v>
      </c>
      <c r="C95" s="279"/>
      <c r="D95" s="278" t="s">
        <v>461</v>
      </c>
      <c r="E95" s="279"/>
      <c r="F95" s="280" t="s">
        <v>439</v>
      </c>
    </row>
    <row r="96" spans="1:6" ht="24" customHeight="1">
      <c r="A96" s="287"/>
      <c r="B96" s="132" t="s">
        <v>438</v>
      </c>
      <c r="C96" s="133" t="s">
        <v>459</v>
      </c>
      <c r="D96" s="132" t="s">
        <v>438</v>
      </c>
      <c r="E96" s="133" t="s">
        <v>459</v>
      </c>
      <c r="F96" s="281"/>
    </row>
    <row r="97" spans="1:7" ht="18" customHeight="1">
      <c r="A97" s="127" t="s">
        <v>129</v>
      </c>
      <c r="B97" s="131">
        <v>3</v>
      </c>
      <c r="C97" s="146">
        <v>8.5</v>
      </c>
      <c r="D97" s="131">
        <v>0</v>
      </c>
      <c r="E97" s="146">
        <v>0</v>
      </c>
      <c r="F97" s="134">
        <f aca="true" t="shared" si="5" ref="F97:F106">B97+D97</f>
        <v>3</v>
      </c>
      <c r="G97" s="122"/>
    </row>
    <row r="98" spans="1:7" ht="18" customHeight="1">
      <c r="A98" s="127" t="s">
        <v>254</v>
      </c>
      <c r="B98" s="131">
        <v>1</v>
      </c>
      <c r="C98" s="146">
        <v>11</v>
      </c>
      <c r="D98" s="131">
        <v>1</v>
      </c>
      <c r="E98" s="146">
        <v>5.5</v>
      </c>
      <c r="F98" s="134">
        <f t="shared" si="5"/>
        <v>2</v>
      </c>
      <c r="G98" s="122"/>
    </row>
    <row r="99" spans="1:7" ht="18" customHeight="1">
      <c r="A99" s="127" t="s">
        <v>123</v>
      </c>
      <c r="B99" s="131">
        <v>1</v>
      </c>
      <c r="C99" s="146">
        <v>8.75</v>
      </c>
      <c r="D99" s="131">
        <v>0</v>
      </c>
      <c r="E99" s="146">
        <v>0</v>
      </c>
      <c r="F99" s="134">
        <f t="shared" si="5"/>
        <v>1</v>
      </c>
      <c r="G99" s="122"/>
    </row>
    <row r="100" spans="1:7" ht="18" customHeight="1">
      <c r="A100" s="127" t="s">
        <v>121</v>
      </c>
      <c r="B100" s="131">
        <v>4</v>
      </c>
      <c r="C100" s="146">
        <v>10.625</v>
      </c>
      <c r="D100" s="131">
        <v>1</v>
      </c>
      <c r="E100" s="146">
        <v>9.25</v>
      </c>
      <c r="F100" s="134">
        <f t="shared" si="5"/>
        <v>5</v>
      </c>
      <c r="G100" s="122"/>
    </row>
    <row r="101" spans="1:7" ht="18" customHeight="1">
      <c r="A101" s="127" t="s">
        <v>114</v>
      </c>
      <c r="B101" s="131">
        <v>0</v>
      </c>
      <c r="C101" s="146">
        <v>0</v>
      </c>
      <c r="D101" s="131">
        <v>1</v>
      </c>
      <c r="E101" s="146">
        <v>6</v>
      </c>
      <c r="F101" s="134">
        <f t="shared" si="5"/>
        <v>1</v>
      </c>
      <c r="G101" s="122"/>
    </row>
    <row r="102" spans="1:7" ht="18" customHeight="1">
      <c r="A102" s="127" t="s">
        <v>336</v>
      </c>
      <c r="B102" s="131">
        <v>1</v>
      </c>
      <c r="C102" s="146">
        <v>10.5</v>
      </c>
      <c r="D102" s="131">
        <v>0</v>
      </c>
      <c r="E102" s="146">
        <v>0</v>
      </c>
      <c r="F102" s="134">
        <f t="shared" si="5"/>
        <v>1</v>
      </c>
      <c r="G102" s="122"/>
    </row>
    <row r="103" spans="1:7" ht="18" customHeight="1">
      <c r="A103" s="127" t="s">
        <v>100</v>
      </c>
      <c r="B103" s="131">
        <v>2</v>
      </c>
      <c r="C103" s="146">
        <v>7.83333333333333</v>
      </c>
      <c r="D103" s="131">
        <v>0</v>
      </c>
      <c r="E103" s="146">
        <v>0</v>
      </c>
      <c r="F103" s="134">
        <f t="shared" si="5"/>
        <v>2</v>
      </c>
      <c r="G103" s="122"/>
    </row>
    <row r="104" spans="1:7" ht="18" customHeight="1">
      <c r="A104" s="127" t="s">
        <v>242</v>
      </c>
      <c r="B104" s="131">
        <v>1</v>
      </c>
      <c r="C104" s="146">
        <v>9</v>
      </c>
      <c r="D104" s="131">
        <v>0</v>
      </c>
      <c r="E104" s="146">
        <v>0</v>
      </c>
      <c r="F104" s="134">
        <f t="shared" si="5"/>
        <v>1</v>
      </c>
      <c r="G104" s="122"/>
    </row>
    <row r="105" spans="1:7" ht="18" customHeight="1">
      <c r="A105" s="127" t="s">
        <v>95</v>
      </c>
      <c r="B105" s="131">
        <v>0</v>
      </c>
      <c r="C105" s="146">
        <v>0</v>
      </c>
      <c r="D105" s="131">
        <v>1</v>
      </c>
      <c r="E105" s="146">
        <v>6</v>
      </c>
      <c r="F105" s="134">
        <f t="shared" si="5"/>
        <v>1</v>
      </c>
      <c r="G105" s="122"/>
    </row>
    <row r="106" spans="1:7" ht="28.5" customHeight="1">
      <c r="A106" s="30" t="s">
        <v>225</v>
      </c>
      <c r="B106" s="129">
        <v>13</v>
      </c>
      <c r="C106" s="147">
        <f>SUM(C97:C105)/7</f>
        <v>9.458333333333332</v>
      </c>
      <c r="D106" s="129">
        <v>4</v>
      </c>
      <c r="E106" s="147">
        <f>SUM(E97:E105)/4</f>
        <v>6.6875</v>
      </c>
      <c r="F106" s="130">
        <f t="shared" si="5"/>
        <v>17</v>
      </c>
      <c r="G106" s="122"/>
    </row>
    <row r="108" ht="12.75">
      <c r="A108" s="155" t="s">
        <v>485</v>
      </c>
    </row>
    <row r="109" ht="12.75">
      <c r="A109" s="155" t="s">
        <v>92</v>
      </c>
    </row>
    <row r="111" spans="1:7" s="11" customFormat="1" ht="60.75" customHeight="1">
      <c r="A111" s="24" t="s">
        <v>468</v>
      </c>
      <c r="B111" s="248" t="s">
        <v>488</v>
      </c>
      <c r="C111" s="249"/>
      <c r="D111" s="249"/>
      <c r="E111" s="249"/>
      <c r="F111" s="250"/>
      <c r="G111" s="44"/>
    </row>
    <row r="112" spans="1:6" s="11" customFormat="1" ht="39" customHeight="1">
      <c r="A112" s="276" t="s">
        <v>269</v>
      </c>
      <c r="B112" s="278" t="s">
        <v>460</v>
      </c>
      <c r="C112" s="279"/>
      <c r="D112" s="278" t="s">
        <v>461</v>
      </c>
      <c r="E112" s="279"/>
      <c r="F112" s="280" t="s">
        <v>439</v>
      </c>
    </row>
    <row r="113" spans="1:6" ht="24" customHeight="1">
      <c r="A113" s="277"/>
      <c r="B113" s="132" t="s">
        <v>438</v>
      </c>
      <c r="C113" s="133" t="s">
        <v>459</v>
      </c>
      <c r="D113" s="132" t="s">
        <v>438</v>
      </c>
      <c r="E113" s="133" t="s">
        <v>459</v>
      </c>
      <c r="F113" s="281"/>
    </row>
    <row r="114" spans="1:7" ht="18" customHeight="1">
      <c r="A114" s="165" t="s">
        <v>161</v>
      </c>
      <c r="B114" s="131">
        <v>1</v>
      </c>
      <c r="C114" s="146">
        <v>8</v>
      </c>
      <c r="D114" s="131">
        <v>2</v>
      </c>
      <c r="E114" s="146">
        <v>4.5</v>
      </c>
      <c r="F114" s="134">
        <f aca="true" t="shared" si="6" ref="F114:F121">B114+D114</f>
        <v>3</v>
      </c>
      <c r="G114" s="122"/>
    </row>
    <row r="115" spans="1:7" ht="18" customHeight="1">
      <c r="A115" s="127" t="s">
        <v>162</v>
      </c>
      <c r="B115" s="131">
        <v>0</v>
      </c>
      <c r="C115" s="146">
        <v>0</v>
      </c>
      <c r="D115" s="131">
        <v>2</v>
      </c>
      <c r="E115" s="146">
        <v>5</v>
      </c>
      <c r="F115" s="134">
        <f t="shared" si="6"/>
        <v>2</v>
      </c>
      <c r="G115" s="122"/>
    </row>
    <row r="116" spans="1:7" ht="18" customHeight="1">
      <c r="A116" s="127" t="s">
        <v>164</v>
      </c>
      <c r="B116" s="131">
        <v>1</v>
      </c>
      <c r="C116" s="146">
        <v>8.5</v>
      </c>
      <c r="D116" s="131">
        <v>1</v>
      </c>
      <c r="E116" s="146">
        <v>5</v>
      </c>
      <c r="F116" s="134">
        <f t="shared" si="6"/>
        <v>2</v>
      </c>
      <c r="G116" s="122"/>
    </row>
    <row r="117" spans="1:7" ht="18" customHeight="1">
      <c r="A117" s="127" t="s">
        <v>255</v>
      </c>
      <c r="B117" s="131">
        <v>17</v>
      </c>
      <c r="C117" s="146">
        <v>9.227272727272727</v>
      </c>
      <c r="D117" s="131">
        <v>0</v>
      </c>
      <c r="E117" s="146">
        <v>0</v>
      </c>
      <c r="F117" s="134">
        <f t="shared" si="6"/>
        <v>17</v>
      </c>
      <c r="G117" s="122"/>
    </row>
    <row r="118" spans="1:7" ht="18" customHeight="1">
      <c r="A118" s="127" t="s">
        <v>167</v>
      </c>
      <c r="B118" s="131">
        <v>1</v>
      </c>
      <c r="C118" s="146">
        <v>9</v>
      </c>
      <c r="D118" s="131">
        <v>0</v>
      </c>
      <c r="E118" s="146">
        <v>0</v>
      </c>
      <c r="F118" s="134">
        <f t="shared" si="6"/>
        <v>1</v>
      </c>
      <c r="G118" s="122"/>
    </row>
    <row r="119" spans="1:7" ht="18" customHeight="1">
      <c r="A119" s="127" t="s">
        <v>156</v>
      </c>
      <c r="B119" s="131">
        <v>1</v>
      </c>
      <c r="C119" s="146">
        <v>8.5</v>
      </c>
      <c r="D119" s="131">
        <v>0</v>
      </c>
      <c r="E119" s="146">
        <v>0</v>
      </c>
      <c r="F119" s="134">
        <f t="shared" si="6"/>
        <v>1</v>
      </c>
      <c r="G119" s="122"/>
    </row>
    <row r="120" spans="1:7" ht="18" customHeight="1">
      <c r="A120" s="127" t="s">
        <v>404</v>
      </c>
      <c r="B120" s="131">
        <v>1</v>
      </c>
      <c r="C120" s="146">
        <v>9</v>
      </c>
      <c r="D120" s="131">
        <v>0</v>
      </c>
      <c r="E120" s="146">
        <v>0</v>
      </c>
      <c r="F120" s="134">
        <f t="shared" si="6"/>
        <v>1</v>
      </c>
      <c r="G120" s="122"/>
    </row>
    <row r="121" spans="1:7" ht="28.5" customHeight="1">
      <c r="A121" s="30" t="s">
        <v>226</v>
      </c>
      <c r="B121" s="172">
        <f>SUM(B114:B120)</f>
        <v>22</v>
      </c>
      <c r="C121" s="221">
        <f>SUM(C114:C120)/6</f>
        <v>8.704545454545455</v>
      </c>
      <c r="D121" s="172">
        <v>5</v>
      </c>
      <c r="E121" s="221">
        <f>SUM(E114:E120)/3</f>
        <v>4.833333333333333</v>
      </c>
      <c r="F121" s="173">
        <f t="shared" si="6"/>
        <v>27</v>
      </c>
      <c r="G121" s="122"/>
    </row>
    <row r="124" spans="1:7" s="11" customFormat="1" ht="60.75" customHeight="1">
      <c r="A124" s="24" t="s">
        <v>468</v>
      </c>
      <c r="B124" s="248" t="s">
        <v>1</v>
      </c>
      <c r="C124" s="249"/>
      <c r="D124" s="249"/>
      <c r="E124" s="249"/>
      <c r="F124" s="250"/>
      <c r="G124" s="44"/>
    </row>
    <row r="125" spans="1:6" s="11" customFormat="1" ht="39" customHeight="1">
      <c r="A125" s="276" t="s">
        <v>269</v>
      </c>
      <c r="B125" s="278" t="s">
        <v>460</v>
      </c>
      <c r="C125" s="279"/>
      <c r="D125" s="278" t="s">
        <v>461</v>
      </c>
      <c r="E125" s="279"/>
      <c r="F125" s="280" t="s">
        <v>439</v>
      </c>
    </row>
    <row r="126" spans="1:6" ht="24" customHeight="1">
      <c r="A126" s="277"/>
      <c r="B126" s="132" t="s">
        <v>438</v>
      </c>
      <c r="C126" s="133" t="s">
        <v>459</v>
      </c>
      <c r="D126" s="132" t="s">
        <v>438</v>
      </c>
      <c r="E126" s="133" t="s">
        <v>459</v>
      </c>
      <c r="F126" s="281"/>
    </row>
    <row r="127" spans="1:7" ht="18" customHeight="1">
      <c r="A127" s="165" t="s">
        <v>337</v>
      </c>
      <c r="B127" s="131">
        <v>1</v>
      </c>
      <c r="C127" s="146">
        <v>8.5</v>
      </c>
      <c r="D127" s="131">
        <v>0</v>
      </c>
      <c r="E127" s="146">
        <v>0</v>
      </c>
      <c r="F127" s="134">
        <f aca="true" t="shared" si="7" ref="F127:F133">B127+D127</f>
        <v>1</v>
      </c>
      <c r="G127" s="122"/>
    </row>
    <row r="128" spans="1:7" ht="18" customHeight="1">
      <c r="A128" s="127" t="s">
        <v>338</v>
      </c>
      <c r="B128" s="131">
        <v>1</v>
      </c>
      <c r="C128" s="146">
        <v>8</v>
      </c>
      <c r="D128" s="131">
        <v>0</v>
      </c>
      <c r="E128" s="146">
        <v>0</v>
      </c>
      <c r="F128" s="134">
        <f t="shared" si="7"/>
        <v>1</v>
      </c>
      <c r="G128" s="122"/>
    </row>
    <row r="129" spans="1:7" ht="18" customHeight="1">
      <c r="A129" s="127" t="s">
        <v>339</v>
      </c>
      <c r="B129" s="131">
        <v>2</v>
      </c>
      <c r="C129" s="146">
        <v>8</v>
      </c>
      <c r="D129" s="131">
        <v>0</v>
      </c>
      <c r="E129" s="146">
        <v>0</v>
      </c>
      <c r="F129" s="134">
        <f t="shared" si="7"/>
        <v>2</v>
      </c>
      <c r="G129" s="122"/>
    </row>
    <row r="130" spans="1:7" ht="18" customHeight="1">
      <c r="A130" s="127" t="s">
        <v>233</v>
      </c>
      <c r="B130" s="131">
        <v>5</v>
      </c>
      <c r="C130" s="146">
        <v>7.875</v>
      </c>
      <c r="D130" s="131">
        <v>0</v>
      </c>
      <c r="E130" s="146">
        <v>0</v>
      </c>
      <c r="F130" s="134">
        <f t="shared" si="7"/>
        <v>5</v>
      </c>
      <c r="G130" s="122"/>
    </row>
    <row r="131" spans="1:7" ht="18" customHeight="1">
      <c r="A131" s="127" t="s">
        <v>232</v>
      </c>
      <c r="B131" s="131">
        <v>1</v>
      </c>
      <c r="C131" s="146">
        <v>8</v>
      </c>
      <c r="D131" s="131">
        <v>0</v>
      </c>
      <c r="E131" s="146">
        <v>0</v>
      </c>
      <c r="F131" s="134">
        <f t="shared" si="7"/>
        <v>1</v>
      </c>
      <c r="G131" s="122"/>
    </row>
    <row r="132" spans="1:7" ht="18" customHeight="1">
      <c r="A132" s="127" t="s">
        <v>256</v>
      </c>
      <c r="B132" s="131">
        <v>3</v>
      </c>
      <c r="C132" s="146">
        <v>8.75</v>
      </c>
      <c r="D132" s="131">
        <v>0</v>
      </c>
      <c r="E132" s="146">
        <v>0</v>
      </c>
      <c r="F132" s="134">
        <f t="shared" si="7"/>
        <v>3</v>
      </c>
      <c r="G132" s="122"/>
    </row>
    <row r="133" spans="1:7" ht="28.5" customHeight="1">
      <c r="A133" s="30" t="s">
        <v>182</v>
      </c>
      <c r="B133" s="172">
        <v>13</v>
      </c>
      <c r="C133" s="221">
        <f>SUM(C127:C132)/5</f>
        <v>9.825</v>
      </c>
      <c r="D133" s="172">
        <v>0</v>
      </c>
      <c r="E133" s="221">
        <v>0</v>
      </c>
      <c r="F133" s="173">
        <f t="shared" si="7"/>
        <v>13</v>
      </c>
      <c r="G133" s="122"/>
    </row>
    <row r="136" spans="1:7" s="11" customFormat="1" ht="60.75" customHeight="1">
      <c r="A136" s="24" t="s">
        <v>468</v>
      </c>
      <c r="B136" s="248" t="s">
        <v>2</v>
      </c>
      <c r="C136" s="249"/>
      <c r="D136" s="249"/>
      <c r="E136" s="249"/>
      <c r="F136" s="250"/>
      <c r="G136" s="44"/>
    </row>
    <row r="137" spans="1:6" s="11" customFormat="1" ht="39" customHeight="1">
      <c r="A137" s="276" t="s">
        <v>269</v>
      </c>
      <c r="B137" s="278" t="s">
        <v>460</v>
      </c>
      <c r="C137" s="279"/>
      <c r="D137" s="278" t="s">
        <v>461</v>
      </c>
      <c r="E137" s="279"/>
      <c r="F137" s="280" t="s">
        <v>439</v>
      </c>
    </row>
    <row r="138" spans="1:6" ht="24" customHeight="1">
      <c r="A138" s="277"/>
      <c r="B138" s="132" t="s">
        <v>438</v>
      </c>
      <c r="C138" s="133" t="s">
        <v>459</v>
      </c>
      <c r="D138" s="132" t="s">
        <v>438</v>
      </c>
      <c r="E138" s="133" t="s">
        <v>459</v>
      </c>
      <c r="F138" s="281"/>
    </row>
    <row r="139" spans="1:7" ht="18" customHeight="1">
      <c r="A139" s="165" t="s">
        <v>152</v>
      </c>
      <c r="B139" s="131">
        <v>2</v>
      </c>
      <c r="C139" s="146">
        <v>10.5</v>
      </c>
      <c r="D139" s="131">
        <v>0</v>
      </c>
      <c r="E139" s="146">
        <v>0</v>
      </c>
      <c r="F139" s="134">
        <f>B139+D139</f>
        <v>2</v>
      </c>
      <c r="G139" s="122"/>
    </row>
    <row r="140" spans="1:7" ht="18" customHeight="1">
      <c r="A140" s="127" t="s">
        <v>150</v>
      </c>
      <c r="B140" s="131">
        <v>2</v>
      </c>
      <c r="C140" s="146">
        <v>11</v>
      </c>
      <c r="D140" s="131">
        <v>0</v>
      </c>
      <c r="E140" s="146">
        <v>0</v>
      </c>
      <c r="F140" s="134">
        <f>B140+D140</f>
        <v>2</v>
      </c>
      <c r="G140" s="122"/>
    </row>
    <row r="141" spans="1:7" ht="18" customHeight="1">
      <c r="A141" s="127" t="s">
        <v>180</v>
      </c>
      <c r="B141" s="131">
        <v>1</v>
      </c>
      <c r="C141" s="146">
        <v>9</v>
      </c>
      <c r="D141" s="131">
        <v>1</v>
      </c>
      <c r="E141" s="146">
        <v>6.5</v>
      </c>
      <c r="F141" s="134">
        <f>B141+D141</f>
        <v>2</v>
      </c>
      <c r="G141" s="122"/>
    </row>
    <row r="142" spans="1:7" ht="28.5" customHeight="1">
      <c r="A142" s="30" t="s">
        <v>183</v>
      </c>
      <c r="B142" s="172">
        <f>SUM(B139:B141)</f>
        <v>5</v>
      </c>
      <c r="C142" s="221">
        <f>SUM(C139:C141)/3</f>
        <v>10.166666666666666</v>
      </c>
      <c r="D142" s="172">
        <f>SUM(D139:D141)</f>
        <v>1</v>
      </c>
      <c r="E142" s="221">
        <f>SUM(E139:E141)</f>
        <v>6.5</v>
      </c>
      <c r="F142" s="173">
        <f>SUM(F139:F141)</f>
        <v>6</v>
      </c>
      <c r="G142" s="122"/>
    </row>
    <row r="144" ht="24" customHeight="1"/>
    <row r="147" spans="1:7" s="11" customFormat="1" ht="60.75" customHeight="1">
      <c r="A147" s="24" t="s">
        <v>468</v>
      </c>
      <c r="B147" s="248" t="s">
        <v>3</v>
      </c>
      <c r="C147" s="249"/>
      <c r="D147" s="249"/>
      <c r="E147" s="249"/>
      <c r="F147" s="250"/>
      <c r="G147" s="44"/>
    </row>
    <row r="148" spans="1:6" s="11" customFormat="1" ht="39" customHeight="1">
      <c r="A148" s="276" t="s">
        <v>269</v>
      </c>
      <c r="B148" s="278" t="s">
        <v>460</v>
      </c>
      <c r="C148" s="279"/>
      <c r="D148" s="278" t="s">
        <v>461</v>
      </c>
      <c r="E148" s="279"/>
      <c r="F148" s="280" t="s">
        <v>439</v>
      </c>
    </row>
    <row r="149" spans="1:6" ht="24" customHeight="1">
      <c r="A149" s="277"/>
      <c r="B149" s="132" t="s">
        <v>438</v>
      </c>
      <c r="C149" s="133" t="s">
        <v>459</v>
      </c>
      <c r="D149" s="132" t="s">
        <v>438</v>
      </c>
      <c r="E149" s="133" t="s">
        <v>459</v>
      </c>
      <c r="F149" s="281"/>
    </row>
    <row r="150" spans="1:7" ht="18" customHeight="1">
      <c r="A150" s="165" t="s">
        <v>258</v>
      </c>
      <c r="B150" s="131">
        <v>0</v>
      </c>
      <c r="C150" s="146">
        <v>0</v>
      </c>
      <c r="D150" s="131">
        <v>1</v>
      </c>
      <c r="E150" s="146">
        <v>7</v>
      </c>
      <c r="F150" s="134">
        <f>B150+D150</f>
        <v>1</v>
      </c>
      <c r="G150" s="122"/>
    </row>
    <row r="151" spans="1:7" ht="28.5" customHeight="1">
      <c r="A151" s="30" t="s">
        <v>184</v>
      </c>
      <c r="B151" s="172">
        <f>SUM(B150)</f>
        <v>0</v>
      </c>
      <c r="C151" s="221">
        <f>SUM(C150)</f>
        <v>0</v>
      </c>
      <c r="D151" s="172">
        <f>SUM(D150)</f>
        <v>1</v>
      </c>
      <c r="E151" s="221">
        <f>SUM(E150)</f>
        <v>7</v>
      </c>
      <c r="F151" s="173">
        <f>SUM(F150)</f>
        <v>1</v>
      </c>
      <c r="G151" s="122"/>
    </row>
  </sheetData>
  <mergeCells count="53">
    <mergeCell ref="A36:G36"/>
    <mergeCell ref="A46:G46"/>
    <mergeCell ref="G2:G3"/>
    <mergeCell ref="B1:G1"/>
    <mergeCell ref="A2:A3"/>
    <mergeCell ref="B2:C2"/>
    <mergeCell ref="D2:E2"/>
    <mergeCell ref="F2:F3"/>
    <mergeCell ref="B147:F147"/>
    <mergeCell ref="A148:A149"/>
    <mergeCell ref="B148:C148"/>
    <mergeCell ref="D148:E148"/>
    <mergeCell ref="F148:F149"/>
    <mergeCell ref="B136:F136"/>
    <mergeCell ref="A137:A138"/>
    <mergeCell ref="B137:C137"/>
    <mergeCell ref="D137:E137"/>
    <mergeCell ref="F137:F138"/>
    <mergeCell ref="B124:F124"/>
    <mergeCell ref="A125:A126"/>
    <mergeCell ref="B125:C125"/>
    <mergeCell ref="D125:E125"/>
    <mergeCell ref="F125:F126"/>
    <mergeCell ref="B111:F111"/>
    <mergeCell ref="A112:A113"/>
    <mergeCell ref="B112:C112"/>
    <mergeCell ref="D112:E112"/>
    <mergeCell ref="F112:F113"/>
    <mergeCell ref="B94:F94"/>
    <mergeCell ref="A95:A96"/>
    <mergeCell ref="B95:C95"/>
    <mergeCell ref="D95:E95"/>
    <mergeCell ref="F95:F96"/>
    <mergeCell ref="B78:F78"/>
    <mergeCell ref="A79:A80"/>
    <mergeCell ref="B79:C79"/>
    <mergeCell ref="D79:E79"/>
    <mergeCell ref="F79:F80"/>
    <mergeCell ref="B68:F68"/>
    <mergeCell ref="A69:A70"/>
    <mergeCell ref="B69:C69"/>
    <mergeCell ref="D69:E69"/>
    <mergeCell ref="F69:F70"/>
    <mergeCell ref="B48:F48"/>
    <mergeCell ref="A49:A50"/>
    <mergeCell ref="B49:C49"/>
    <mergeCell ref="D49:E49"/>
    <mergeCell ref="F49:F50"/>
    <mergeCell ref="B57:F57"/>
    <mergeCell ref="A58:A59"/>
    <mergeCell ref="B58:C58"/>
    <mergeCell ref="D58:E58"/>
    <mergeCell ref="F58:F5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rowBreaks count="1" manualBreakCount="1">
    <brk id="11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3"/>
  <sheetViews>
    <sheetView zoomScale="75" zoomScaleNormal="75" workbookViewId="0" topLeftCell="A1">
      <selection activeCell="G1" sqref="G1"/>
    </sheetView>
  </sheetViews>
  <sheetFormatPr defaultColWidth="9.140625" defaultRowHeight="12.75"/>
  <cols>
    <col min="1" max="1" width="25.28125" style="124" customWidth="1"/>
    <col min="2" max="2" width="9.8515625" style="122" customWidth="1"/>
    <col min="3" max="3" width="13.28125" style="122" customWidth="1"/>
    <col min="4" max="4" width="8.8515625" style="122" customWidth="1"/>
    <col min="5" max="5" width="6.421875" style="122" bestFit="1" customWidth="1"/>
    <col min="6" max="16384" width="8.8515625" style="122" customWidth="1"/>
  </cols>
  <sheetData>
    <row r="1" spans="1:12" s="2" customFormat="1" ht="117" customHeight="1">
      <c r="A1" s="126" t="s">
        <v>9</v>
      </c>
      <c r="B1" s="237" t="s">
        <v>44</v>
      </c>
      <c r="C1" s="252"/>
      <c r="D1" s="20"/>
      <c r="E1" s="20"/>
      <c r="F1" s="159"/>
      <c r="G1" s="159"/>
      <c r="H1" s="20"/>
      <c r="I1" s="20"/>
      <c r="J1" s="20"/>
      <c r="K1" s="20"/>
      <c r="L1" s="20"/>
    </row>
    <row r="2" spans="1:3" s="160" customFormat="1" ht="39.75" customHeight="1">
      <c r="A2" s="203" t="s">
        <v>185</v>
      </c>
      <c r="B2" s="204" t="s">
        <v>458</v>
      </c>
      <c r="C2" s="204" t="s">
        <v>469</v>
      </c>
    </row>
    <row r="3" spans="1:3" s="196" customFormat="1" ht="15" customHeight="1">
      <c r="A3" s="226" t="s">
        <v>250</v>
      </c>
      <c r="B3" s="231">
        <f>B27</f>
        <v>11</v>
      </c>
      <c r="C3" s="229">
        <f>C27</f>
        <v>204.80555555555554</v>
      </c>
    </row>
    <row r="4" spans="1:3" s="175" customFormat="1" ht="15" customHeight="1">
      <c r="A4" s="227" t="s">
        <v>251</v>
      </c>
      <c r="B4" s="231">
        <f>B46</f>
        <v>10.566666666666666</v>
      </c>
      <c r="C4" s="229">
        <f>C46</f>
        <v>208.5</v>
      </c>
    </row>
    <row r="5" spans="1:3" s="175" customFormat="1" ht="15" customHeight="1">
      <c r="A5" s="227" t="s">
        <v>252</v>
      </c>
      <c r="B5" s="231">
        <f>B79</f>
        <v>10.698717948717949</v>
      </c>
      <c r="C5" s="229">
        <f>C79</f>
        <v>207.62820512820514</v>
      </c>
    </row>
    <row r="6" spans="1:3" s="175" customFormat="1" ht="15" customHeight="1">
      <c r="A6" s="227" t="s">
        <v>253</v>
      </c>
      <c r="B6" s="231">
        <f>B116</f>
        <v>10.4683908045977</v>
      </c>
      <c r="C6" s="229">
        <f>C116</f>
        <v>202.41954022988506</v>
      </c>
    </row>
    <row r="7" spans="1:3" s="175" customFormat="1" ht="15" customHeight="1">
      <c r="A7" s="227" t="s">
        <v>254</v>
      </c>
      <c r="B7" s="231">
        <f>B165</f>
        <v>10.884722222222223</v>
      </c>
      <c r="C7" s="229">
        <f>C165</f>
        <v>211.26495726495725</v>
      </c>
    </row>
    <row r="8" spans="1:3" s="175" customFormat="1" ht="15" customHeight="1">
      <c r="A8" s="227" t="s">
        <v>255</v>
      </c>
      <c r="B8" s="231">
        <f>B187</f>
        <v>10.757142857142858</v>
      </c>
      <c r="C8" s="229">
        <f>C187</f>
        <v>206</v>
      </c>
    </row>
    <row r="9" spans="1:3" s="175" customFormat="1" ht="15" customHeight="1">
      <c r="A9" s="227" t="s">
        <v>256</v>
      </c>
      <c r="B9" s="231">
        <f>B206</f>
        <v>11.033333333333333</v>
      </c>
      <c r="C9" s="229">
        <f>C206</f>
        <v>213.66666666666666</v>
      </c>
    </row>
    <row r="10" spans="1:3" s="175" customFormat="1" ht="15" customHeight="1">
      <c r="A10" s="227" t="s">
        <v>257</v>
      </c>
      <c r="B10" s="231">
        <f>B222</f>
        <v>10.513708513708513</v>
      </c>
      <c r="C10" s="229">
        <f>C222</f>
        <v>201.71572871572872</v>
      </c>
    </row>
    <row r="11" spans="1:3" s="175" customFormat="1" ht="15" customHeight="1">
      <c r="A11" s="228" t="s">
        <v>258</v>
      </c>
      <c r="B11" s="232">
        <f>B235</f>
        <v>11.045454545454545</v>
      </c>
      <c r="C11" s="230">
        <f>C235</f>
        <v>214.42045454545456</v>
      </c>
    </row>
    <row r="12" spans="1:3" s="176" customFormat="1" ht="28.5" customHeight="1">
      <c r="A12" s="205" t="s">
        <v>259</v>
      </c>
      <c r="B12" s="206">
        <f>SUM(B3:B11)/9</f>
        <v>10.774237432427087</v>
      </c>
      <c r="C12" s="225">
        <f>SUM(C3:C11)/9</f>
        <v>207.8245675673837</v>
      </c>
    </row>
    <row r="13" ht="11.25">
      <c r="F13" s="159"/>
    </row>
    <row r="14" spans="1:8" ht="41.25" customHeight="1">
      <c r="A14" s="285" t="s">
        <v>272</v>
      </c>
      <c r="B14" s="285"/>
      <c r="C14" s="285"/>
      <c r="D14" s="180"/>
      <c r="E14" s="180"/>
      <c r="F14" s="180"/>
      <c r="G14" s="180"/>
      <c r="H14" s="180"/>
    </row>
    <row r="16" spans="1:7" s="11" customFormat="1" ht="97.5" customHeight="1">
      <c r="A16" s="24" t="s">
        <v>9</v>
      </c>
      <c r="B16" s="248" t="s">
        <v>16</v>
      </c>
      <c r="C16" s="250"/>
      <c r="D16" s="122"/>
      <c r="E16" s="122"/>
      <c r="F16" s="159"/>
      <c r="G16" s="122"/>
    </row>
    <row r="17" spans="1:6" s="11" customFormat="1" ht="39.75" customHeight="1">
      <c r="A17" s="167" t="s">
        <v>269</v>
      </c>
      <c r="B17" s="168" t="s">
        <v>458</v>
      </c>
      <c r="C17" s="168" t="s">
        <v>469</v>
      </c>
      <c r="D17" s="160"/>
      <c r="E17" s="160"/>
      <c r="F17" s="160"/>
    </row>
    <row r="18" spans="1:3" ht="18" customHeight="1">
      <c r="A18" s="165" t="s">
        <v>186</v>
      </c>
      <c r="B18" s="131">
        <v>11</v>
      </c>
      <c r="C18" s="166">
        <v>208</v>
      </c>
    </row>
    <row r="19" spans="1:6" ht="18" customHeight="1">
      <c r="A19" s="127" t="s">
        <v>187</v>
      </c>
      <c r="B19" s="131">
        <v>11</v>
      </c>
      <c r="C19" s="128">
        <v>216</v>
      </c>
      <c r="F19" s="159"/>
    </row>
    <row r="20" spans="1:3" ht="18" customHeight="1">
      <c r="A20" s="127" t="s">
        <v>188</v>
      </c>
      <c r="B20" s="131">
        <v>11</v>
      </c>
      <c r="C20" s="128">
        <v>183</v>
      </c>
    </row>
    <row r="21" spans="1:6" ht="18" customHeight="1">
      <c r="A21" s="127" t="s">
        <v>189</v>
      </c>
      <c r="B21" s="131">
        <v>11</v>
      </c>
      <c r="C21" s="128">
        <v>207</v>
      </c>
      <c r="F21" s="159"/>
    </row>
    <row r="22" spans="1:3" ht="18" customHeight="1">
      <c r="A22" s="127" t="s">
        <v>190</v>
      </c>
      <c r="B22" s="131">
        <v>11</v>
      </c>
      <c r="C22" s="128">
        <v>204</v>
      </c>
    </row>
    <row r="23" spans="1:6" ht="18" customHeight="1">
      <c r="A23" s="127" t="s">
        <v>191</v>
      </c>
      <c r="B23" s="131">
        <v>11</v>
      </c>
      <c r="C23" s="128">
        <v>207</v>
      </c>
      <c r="F23" s="159"/>
    </row>
    <row r="24" spans="1:3" ht="18" customHeight="1">
      <c r="A24" s="127" t="s">
        <v>250</v>
      </c>
      <c r="B24" s="131">
        <v>10.625</v>
      </c>
      <c r="C24" s="128">
        <f>1618/8</f>
        <v>202.25</v>
      </c>
    </row>
    <row r="25" spans="1:6" ht="18" customHeight="1">
      <c r="A25" s="127" t="s">
        <v>196</v>
      </c>
      <c r="B25" s="131">
        <v>11</v>
      </c>
      <c r="C25" s="128">
        <v>209</v>
      </c>
      <c r="F25" s="159"/>
    </row>
    <row r="26" spans="1:3" ht="18" customHeight="1">
      <c r="A26" s="169" t="s">
        <v>198</v>
      </c>
      <c r="B26" s="170">
        <v>11</v>
      </c>
      <c r="C26" s="171">
        <v>207</v>
      </c>
    </row>
    <row r="27" spans="1:6" ht="28.5" customHeight="1">
      <c r="A27" s="30" t="s">
        <v>270</v>
      </c>
      <c r="B27" s="172">
        <v>11</v>
      </c>
      <c r="C27" s="173">
        <f>SUM(C18:C26)/9</f>
        <v>204.80555555555554</v>
      </c>
      <c r="F27" s="159"/>
    </row>
    <row r="28" ht="10.5">
      <c r="A28" s="161"/>
    </row>
    <row r="29" spans="1:7" s="11" customFormat="1" ht="97.5" customHeight="1">
      <c r="A29" s="24" t="s">
        <v>9</v>
      </c>
      <c r="B29" s="248" t="s">
        <v>17</v>
      </c>
      <c r="C29" s="250"/>
      <c r="D29" s="122"/>
      <c r="E29" s="122"/>
      <c r="F29" s="159"/>
      <c r="G29" s="122"/>
    </row>
    <row r="30" spans="1:6" s="11" customFormat="1" ht="39.75" customHeight="1">
      <c r="A30" s="167" t="s">
        <v>269</v>
      </c>
      <c r="B30" s="168" t="s">
        <v>458</v>
      </c>
      <c r="C30" s="168" t="s">
        <v>469</v>
      </c>
      <c r="D30" s="160"/>
      <c r="E30" s="160"/>
      <c r="F30" s="160"/>
    </row>
    <row r="31" spans="1:6" ht="18" customHeight="1">
      <c r="A31" s="127" t="s">
        <v>200</v>
      </c>
      <c r="B31" s="131">
        <v>11</v>
      </c>
      <c r="C31" s="128">
        <v>216</v>
      </c>
      <c r="F31" s="159"/>
    </row>
    <row r="32" spans="1:6" ht="18" customHeight="1">
      <c r="A32" s="127" t="s">
        <v>201</v>
      </c>
      <c r="B32" s="131">
        <v>11</v>
      </c>
      <c r="C32" s="128">
        <v>220</v>
      </c>
      <c r="F32" s="159"/>
    </row>
    <row r="33" spans="1:6" ht="18" customHeight="1">
      <c r="A33" s="127" t="s">
        <v>202</v>
      </c>
      <c r="B33" s="131">
        <v>11</v>
      </c>
      <c r="C33" s="128">
        <v>210</v>
      </c>
      <c r="F33" s="159"/>
    </row>
    <row r="34" spans="1:6" ht="18" customHeight="1">
      <c r="A34" s="127" t="s">
        <v>204</v>
      </c>
      <c r="B34" s="131">
        <v>11</v>
      </c>
      <c r="C34" s="128">
        <v>205</v>
      </c>
      <c r="F34" s="159"/>
    </row>
    <row r="35" spans="1:6" ht="18" customHeight="1">
      <c r="A35" s="127" t="s">
        <v>205</v>
      </c>
      <c r="B35" s="131">
        <v>11</v>
      </c>
      <c r="C35" s="128">
        <v>218</v>
      </c>
      <c r="F35" s="159"/>
    </row>
    <row r="36" spans="1:6" ht="18" customHeight="1">
      <c r="A36" s="127" t="s">
        <v>206</v>
      </c>
      <c r="B36" s="131">
        <v>10</v>
      </c>
      <c r="C36" s="128">
        <v>194</v>
      </c>
      <c r="F36" s="159"/>
    </row>
    <row r="37" spans="1:6" ht="18" customHeight="1">
      <c r="A37" s="127" t="s">
        <v>207</v>
      </c>
      <c r="B37" s="131">
        <v>11</v>
      </c>
      <c r="C37" s="128">
        <v>206</v>
      </c>
      <c r="F37" s="159"/>
    </row>
    <row r="38" spans="1:6" ht="18" customHeight="1">
      <c r="A38" s="127" t="s">
        <v>208</v>
      </c>
      <c r="B38" s="131">
        <v>11</v>
      </c>
      <c r="C38" s="128">
        <v>215</v>
      </c>
      <c r="F38" s="159"/>
    </row>
    <row r="39" spans="1:6" ht="18" customHeight="1">
      <c r="A39" s="127" t="s">
        <v>210</v>
      </c>
      <c r="B39" s="131">
        <f>21/2</f>
        <v>10.5</v>
      </c>
      <c r="C39" s="128">
        <f>408/2</f>
        <v>204</v>
      </c>
      <c r="F39" s="159"/>
    </row>
    <row r="40" spans="1:6" ht="18" customHeight="1">
      <c r="A40" s="127" t="s">
        <v>374</v>
      </c>
      <c r="B40" s="131">
        <v>9</v>
      </c>
      <c r="C40" s="128">
        <v>273</v>
      </c>
      <c r="F40" s="159"/>
    </row>
    <row r="41" spans="1:6" ht="18" customHeight="1">
      <c r="A41" s="127" t="s">
        <v>211</v>
      </c>
      <c r="B41" s="131">
        <v>10</v>
      </c>
      <c r="C41" s="128">
        <v>191</v>
      </c>
      <c r="F41" s="159"/>
    </row>
    <row r="42" spans="1:6" ht="18" customHeight="1">
      <c r="A42" s="127" t="s">
        <v>251</v>
      </c>
      <c r="B42" s="131">
        <f>150/15</f>
        <v>10</v>
      </c>
      <c r="C42" s="128">
        <f>2925/15</f>
        <v>195</v>
      </c>
      <c r="F42" s="159"/>
    </row>
    <row r="43" spans="1:6" ht="18" customHeight="1">
      <c r="A43" s="127" t="s">
        <v>212</v>
      </c>
      <c r="B43" s="131">
        <f>22/2</f>
        <v>11</v>
      </c>
      <c r="C43" s="128">
        <f>407/2</f>
        <v>203.5</v>
      </c>
      <c r="F43" s="159"/>
    </row>
    <row r="44" spans="1:6" ht="18" customHeight="1">
      <c r="A44" s="127" t="s">
        <v>214</v>
      </c>
      <c r="B44" s="131">
        <v>11</v>
      </c>
      <c r="C44" s="128">
        <v>170</v>
      </c>
      <c r="F44" s="159"/>
    </row>
    <row r="45" spans="1:6" ht="18" customHeight="1">
      <c r="A45" s="127" t="s">
        <v>216</v>
      </c>
      <c r="B45" s="131">
        <v>10</v>
      </c>
      <c r="C45" s="128">
        <v>207</v>
      </c>
      <c r="F45" s="159"/>
    </row>
    <row r="46" spans="1:6" ht="28.5" customHeight="1">
      <c r="A46" s="21" t="s">
        <v>271</v>
      </c>
      <c r="B46" s="173">
        <f>SUM(B31:B45)/15</f>
        <v>10.566666666666666</v>
      </c>
      <c r="C46" s="173">
        <f>SUM(C31:C45)/15</f>
        <v>208.5</v>
      </c>
      <c r="F46" s="159"/>
    </row>
    <row r="47" ht="12" customHeight="1">
      <c r="A47" s="162"/>
    </row>
    <row r="48" spans="1:6" ht="12.75">
      <c r="A48" s="56" t="s">
        <v>273</v>
      </c>
      <c r="F48" s="159"/>
    </row>
    <row r="49" ht="12.75">
      <c r="A49" s="56" t="s">
        <v>274</v>
      </c>
    </row>
    <row r="50" spans="1:6" ht="11.25">
      <c r="A50" s="161"/>
      <c r="F50" s="159"/>
    </row>
    <row r="51" spans="1:7" s="11" customFormat="1" ht="97.5" customHeight="1">
      <c r="A51" s="24" t="s">
        <v>9</v>
      </c>
      <c r="B51" s="248" t="s">
        <v>18</v>
      </c>
      <c r="C51" s="250"/>
      <c r="D51" s="122"/>
      <c r="E51" s="122"/>
      <c r="F51" s="159"/>
      <c r="G51" s="122"/>
    </row>
    <row r="52" spans="1:6" s="11" customFormat="1" ht="39.75" customHeight="1">
      <c r="A52" s="167" t="s">
        <v>269</v>
      </c>
      <c r="B52" s="168" t="s">
        <v>458</v>
      </c>
      <c r="C52" s="168" t="s">
        <v>469</v>
      </c>
      <c r="D52" s="160"/>
      <c r="E52" s="160"/>
      <c r="F52" s="160"/>
    </row>
    <row r="53" spans="1:6" ht="18" customHeight="1">
      <c r="A53" s="127" t="s">
        <v>217</v>
      </c>
      <c r="B53" s="131">
        <v>10</v>
      </c>
      <c r="C53" s="128">
        <v>193</v>
      </c>
      <c r="F53" s="159"/>
    </row>
    <row r="54" spans="1:3" ht="18" customHeight="1">
      <c r="A54" s="127" t="s">
        <v>218</v>
      </c>
      <c r="B54" s="131">
        <v>11</v>
      </c>
      <c r="C54" s="128">
        <v>207</v>
      </c>
    </row>
    <row r="55" spans="1:6" ht="18" customHeight="1">
      <c r="A55" s="127" t="s">
        <v>220</v>
      </c>
      <c r="B55" s="131">
        <v>11</v>
      </c>
      <c r="C55" s="128">
        <v>205</v>
      </c>
      <c r="F55" s="159"/>
    </row>
    <row r="56" spans="1:3" ht="18" customHeight="1">
      <c r="A56" s="127" t="s">
        <v>221</v>
      </c>
      <c r="B56" s="131">
        <v>10</v>
      </c>
      <c r="C56" s="128">
        <v>196</v>
      </c>
    </row>
    <row r="57" spans="1:6" ht="18" customHeight="1">
      <c r="A57" s="127" t="s">
        <v>222</v>
      </c>
      <c r="B57" s="131">
        <v>11</v>
      </c>
      <c r="C57" s="128">
        <v>216</v>
      </c>
      <c r="F57" s="159"/>
    </row>
    <row r="58" spans="1:3" ht="18" customHeight="1">
      <c r="A58" s="127" t="s">
        <v>277</v>
      </c>
      <c r="B58" s="131">
        <v>10</v>
      </c>
      <c r="C58" s="128">
        <v>210</v>
      </c>
    </row>
    <row r="59" spans="1:6" ht="18" customHeight="1">
      <c r="A59" s="127" t="s">
        <v>279</v>
      </c>
      <c r="B59" s="131">
        <f>21/2</f>
        <v>10.5</v>
      </c>
      <c r="C59" s="128">
        <f>416/2</f>
        <v>208</v>
      </c>
      <c r="F59" s="159"/>
    </row>
    <row r="60" spans="1:3" ht="18" customHeight="1">
      <c r="A60" s="127" t="s">
        <v>280</v>
      </c>
      <c r="B60" s="131">
        <f>21/2</f>
        <v>10.5</v>
      </c>
      <c r="C60" s="128">
        <f>414/2</f>
        <v>207</v>
      </c>
    </row>
    <row r="61" spans="1:6" ht="18" customHeight="1">
      <c r="A61" s="127" t="s">
        <v>281</v>
      </c>
      <c r="B61" s="131">
        <v>10</v>
      </c>
      <c r="C61" s="128">
        <v>200</v>
      </c>
      <c r="F61" s="159"/>
    </row>
    <row r="62" spans="1:3" ht="18" customHeight="1">
      <c r="A62" s="127" t="s">
        <v>282</v>
      </c>
      <c r="B62" s="131">
        <v>11</v>
      </c>
      <c r="C62" s="128">
        <v>187</v>
      </c>
    </row>
    <row r="63" spans="1:6" ht="18" customHeight="1">
      <c r="A63" s="127" t="s">
        <v>283</v>
      </c>
      <c r="B63" s="131">
        <v>11</v>
      </c>
      <c r="C63" s="128">
        <v>211</v>
      </c>
      <c r="F63" s="159"/>
    </row>
    <row r="64" spans="1:3" ht="18" customHeight="1">
      <c r="A64" s="127" t="s">
        <v>284</v>
      </c>
      <c r="B64" s="131">
        <f>32/3</f>
        <v>10.666666666666666</v>
      </c>
      <c r="C64" s="128">
        <f>640/3</f>
        <v>213.33333333333334</v>
      </c>
    </row>
    <row r="65" spans="1:6" ht="18" customHeight="1">
      <c r="A65" s="127" t="s">
        <v>285</v>
      </c>
      <c r="B65" s="131">
        <v>11</v>
      </c>
      <c r="C65" s="128">
        <v>220</v>
      </c>
      <c r="F65" s="159"/>
    </row>
    <row r="66" spans="1:3" ht="18" customHeight="1">
      <c r="A66" s="127" t="s">
        <v>287</v>
      </c>
      <c r="B66" s="131">
        <v>11</v>
      </c>
      <c r="C66" s="128">
        <v>209</v>
      </c>
    </row>
    <row r="67" spans="1:6" ht="18" customHeight="1">
      <c r="A67" s="127" t="s">
        <v>288</v>
      </c>
      <c r="B67" s="131">
        <f>22/2</f>
        <v>11</v>
      </c>
      <c r="C67" s="128">
        <f>416/2</f>
        <v>208</v>
      </c>
      <c r="F67" s="159"/>
    </row>
    <row r="68" spans="1:3" ht="18" customHeight="1">
      <c r="A68" s="127" t="s">
        <v>289</v>
      </c>
      <c r="B68" s="131">
        <v>11</v>
      </c>
      <c r="C68" s="128">
        <v>220</v>
      </c>
    </row>
    <row r="69" spans="1:6" ht="18" customHeight="1">
      <c r="A69" s="127" t="s">
        <v>290</v>
      </c>
      <c r="B69" s="131">
        <v>11</v>
      </c>
      <c r="C69" s="128">
        <v>214</v>
      </c>
      <c r="F69" s="159"/>
    </row>
    <row r="70" spans="1:3" ht="18" customHeight="1">
      <c r="A70" s="127" t="s">
        <v>291</v>
      </c>
      <c r="B70" s="131">
        <f>22/2</f>
        <v>11</v>
      </c>
      <c r="C70" s="128">
        <f>456/2</f>
        <v>228</v>
      </c>
    </row>
    <row r="71" spans="1:6" ht="18" customHeight="1">
      <c r="A71" s="127" t="s">
        <v>292</v>
      </c>
      <c r="B71" s="131">
        <f>22/2</f>
        <v>11</v>
      </c>
      <c r="C71" s="128">
        <f>418/2</f>
        <v>209</v>
      </c>
      <c r="F71" s="159"/>
    </row>
    <row r="72" spans="1:3" ht="18" customHeight="1">
      <c r="A72" s="127" t="s">
        <v>293</v>
      </c>
      <c r="B72" s="131">
        <v>10</v>
      </c>
      <c r="C72" s="128">
        <v>205</v>
      </c>
    </row>
    <row r="73" spans="1:6" ht="18" customHeight="1">
      <c r="A73" s="127" t="s">
        <v>294</v>
      </c>
      <c r="B73" s="131">
        <f>140/14</f>
        <v>10</v>
      </c>
      <c r="C73" s="128">
        <f>2730/14</f>
        <v>195</v>
      </c>
      <c r="F73" s="159"/>
    </row>
    <row r="74" spans="1:3" ht="18" customHeight="1">
      <c r="A74" s="127" t="s">
        <v>295</v>
      </c>
      <c r="B74" s="131">
        <v>11</v>
      </c>
      <c r="C74" s="128">
        <v>210</v>
      </c>
    </row>
    <row r="75" spans="1:6" ht="18" customHeight="1">
      <c r="A75" s="127" t="s">
        <v>298</v>
      </c>
      <c r="B75" s="131">
        <v>11</v>
      </c>
      <c r="C75" s="128">
        <v>208</v>
      </c>
      <c r="F75" s="159"/>
    </row>
    <row r="76" spans="1:3" ht="18" customHeight="1">
      <c r="A76" s="127" t="s">
        <v>299</v>
      </c>
      <c r="B76" s="131">
        <f>21/2</f>
        <v>10.5</v>
      </c>
      <c r="C76" s="128">
        <f>398/2</f>
        <v>199</v>
      </c>
    </row>
    <row r="77" spans="1:6" ht="18" customHeight="1">
      <c r="A77" s="127" t="s">
        <v>300</v>
      </c>
      <c r="B77" s="131">
        <v>11</v>
      </c>
      <c r="C77" s="128">
        <v>206</v>
      </c>
      <c r="F77" s="159"/>
    </row>
    <row r="78" spans="1:3" ht="18" customHeight="1">
      <c r="A78" s="127" t="s">
        <v>301</v>
      </c>
      <c r="B78" s="131">
        <f>22/2</f>
        <v>11</v>
      </c>
      <c r="C78" s="128">
        <f>428/2</f>
        <v>214</v>
      </c>
    </row>
    <row r="79" spans="1:6" ht="28.5" customHeight="1">
      <c r="A79" s="21" t="s">
        <v>223</v>
      </c>
      <c r="B79" s="173">
        <f>SUM(B53:B78)/26</f>
        <v>10.698717948717949</v>
      </c>
      <c r="C79" s="173">
        <f>SUM(C53:C78)/26</f>
        <v>207.62820512820514</v>
      </c>
      <c r="F79" s="159"/>
    </row>
    <row r="80" ht="12.75">
      <c r="A80" s="162"/>
    </row>
    <row r="81" spans="1:6" ht="12.75">
      <c r="A81" s="164" t="s">
        <v>245</v>
      </c>
      <c r="F81" s="159"/>
    </row>
    <row r="82" ht="12.75">
      <c r="A82" s="164" t="s">
        <v>244</v>
      </c>
    </row>
    <row r="83" spans="1:6" ht="12.75">
      <c r="A83" s="163"/>
      <c r="F83" s="159"/>
    </row>
    <row r="84" ht="10.5">
      <c r="A84" s="161"/>
    </row>
    <row r="85" spans="1:7" s="11" customFormat="1" ht="97.5" customHeight="1">
      <c r="A85" s="24" t="s">
        <v>9</v>
      </c>
      <c r="B85" s="248" t="s">
        <v>19</v>
      </c>
      <c r="C85" s="250"/>
      <c r="D85" s="122"/>
      <c r="E85" s="122"/>
      <c r="F85" s="159"/>
      <c r="G85" s="122"/>
    </row>
    <row r="86" spans="1:6" s="11" customFormat="1" ht="39.75" customHeight="1">
      <c r="A86" s="167" t="s">
        <v>269</v>
      </c>
      <c r="B86" s="168" t="s">
        <v>458</v>
      </c>
      <c r="C86" s="168" t="s">
        <v>469</v>
      </c>
      <c r="D86" s="160"/>
      <c r="E86" s="160"/>
      <c r="F86" s="160"/>
    </row>
    <row r="87" spans="1:3" ht="18" customHeight="1">
      <c r="A87" s="127" t="s">
        <v>305</v>
      </c>
      <c r="B87" s="131">
        <v>11</v>
      </c>
      <c r="C87" s="128">
        <v>210</v>
      </c>
    </row>
    <row r="88" spans="1:3" ht="18" customHeight="1">
      <c r="A88" s="127" t="s">
        <v>306</v>
      </c>
      <c r="B88" s="131">
        <f>21/2</f>
        <v>10.5</v>
      </c>
      <c r="C88" s="128">
        <f>399/2</f>
        <v>199.5</v>
      </c>
    </row>
    <row r="89" spans="1:3" ht="18" customHeight="1">
      <c r="A89" s="127" t="s">
        <v>307</v>
      </c>
      <c r="B89" s="131">
        <f>63/6</f>
        <v>10.5</v>
      </c>
      <c r="C89" s="128">
        <f>1230/6</f>
        <v>205</v>
      </c>
    </row>
    <row r="90" spans="1:3" ht="18" customHeight="1">
      <c r="A90" s="127" t="s">
        <v>308</v>
      </c>
      <c r="B90" s="131">
        <f>50/5</f>
        <v>10</v>
      </c>
      <c r="C90" s="128">
        <f>910/5</f>
        <v>182</v>
      </c>
    </row>
    <row r="91" spans="1:3" ht="18" customHeight="1">
      <c r="A91" s="127" t="s">
        <v>309</v>
      </c>
      <c r="B91" s="131">
        <f>30/3</f>
        <v>10</v>
      </c>
      <c r="C91" s="128">
        <f>573/3</f>
        <v>191</v>
      </c>
    </row>
    <row r="92" spans="1:3" ht="18" customHeight="1">
      <c r="A92" s="127" t="s">
        <v>310</v>
      </c>
      <c r="B92" s="131">
        <v>11</v>
      </c>
      <c r="C92" s="128">
        <v>210</v>
      </c>
    </row>
    <row r="93" spans="1:3" ht="18" customHeight="1">
      <c r="A93" s="127" t="s">
        <v>311</v>
      </c>
      <c r="B93" s="131">
        <v>11</v>
      </c>
      <c r="C93" s="128">
        <v>206</v>
      </c>
    </row>
    <row r="94" spans="1:3" ht="18" customHeight="1">
      <c r="A94" s="127" t="s">
        <v>312</v>
      </c>
      <c r="B94" s="131">
        <v>10</v>
      </c>
      <c r="C94" s="128">
        <v>193</v>
      </c>
    </row>
    <row r="95" spans="1:3" ht="18" customHeight="1">
      <c r="A95" s="127" t="s">
        <v>313</v>
      </c>
      <c r="B95" s="131">
        <f>22/2</f>
        <v>11</v>
      </c>
      <c r="C95" s="128">
        <f>418/2</f>
        <v>209</v>
      </c>
    </row>
    <row r="96" spans="1:3" ht="18" customHeight="1">
      <c r="A96" s="127" t="s">
        <v>314</v>
      </c>
      <c r="B96" s="131">
        <f>20/2</f>
        <v>10</v>
      </c>
      <c r="C96" s="128">
        <f>390/2</f>
        <v>195</v>
      </c>
    </row>
    <row r="97" spans="1:3" ht="18" customHeight="1">
      <c r="A97" s="127" t="s">
        <v>315</v>
      </c>
      <c r="B97" s="131">
        <f>20/2</f>
        <v>10</v>
      </c>
      <c r="C97" s="128">
        <f>392/2</f>
        <v>196</v>
      </c>
    </row>
    <row r="98" spans="1:3" ht="18" customHeight="1">
      <c r="A98" s="127" t="s">
        <v>316</v>
      </c>
      <c r="B98" s="131">
        <v>10</v>
      </c>
      <c r="C98" s="128">
        <v>193</v>
      </c>
    </row>
    <row r="99" spans="1:3" ht="18" customHeight="1">
      <c r="A99" s="127" t="s">
        <v>318</v>
      </c>
      <c r="B99" s="131">
        <v>10</v>
      </c>
      <c r="C99" s="128">
        <v>198</v>
      </c>
    </row>
    <row r="100" spans="1:3" ht="18" customHeight="1">
      <c r="A100" s="127" t="s">
        <v>320</v>
      </c>
      <c r="B100" s="131">
        <v>11</v>
      </c>
      <c r="C100" s="128">
        <v>219</v>
      </c>
    </row>
    <row r="101" spans="1:3" ht="18" customHeight="1">
      <c r="A101" s="127" t="s">
        <v>321</v>
      </c>
      <c r="B101" s="131">
        <v>11</v>
      </c>
      <c r="C101" s="128">
        <v>214</v>
      </c>
    </row>
    <row r="102" spans="1:3" ht="18" customHeight="1">
      <c r="A102" s="127" t="s">
        <v>253</v>
      </c>
      <c r="B102" s="131">
        <f>200/20</f>
        <v>10</v>
      </c>
      <c r="C102" s="128">
        <f>3920/20</f>
        <v>196</v>
      </c>
    </row>
    <row r="103" spans="1:3" ht="18" customHeight="1">
      <c r="A103" s="127" t="s">
        <v>322</v>
      </c>
      <c r="B103" s="131">
        <v>11</v>
      </c>
      <c r="C103" s="128">
        <v>198</v>
      </c>
    </row>
    <row r="104" spans="1:3" ht="18" customHeight="1">
      <c r="A104" s="127" t="s">
        <v>323</v>
      </c>
      <c r="B104" s="131">
        <f>22/2</f>
        <v>11</v>
      </c>
      <c r="C104" s="128">
        <f>430/2</f>
        <v>215</v>
      </c>
    </row>
    <row r="105" spans="1:3" ht="18" customHeight="1">
      <c r="A105" s="127" t="s">
        <v>324</v>
      </c>
      <c r="B105" s="131">
        <v>10</v>
      </c>
      <c r="C105" s="128">
        <v>188</v>
      </c>
    </row>
    <row r="106" spans="1:3" ht="18" customHeight="1">
      <c r="A106" s="127" t="s">
        <v>325</v>
      </c>
      <c r="B106" s="131">
        <v>11</v>
      </c>
      <c r="C106" s="128">
        <v>220</v>
      </c>
    </row>
    <row r="107" spans="1:3" ht="18" customHeight="1">
      <c r="A107" s="127" t="s">
        <v>326</v>
      </c>
      <c r="B107" s="131">
        <v>10</v>
      </c>
      <c r="C107" s="128">
        <v>195</v>
      </c>
    </row>
    <row r="108" spans="1:3" ht="18" customHeight="1">
      <c r="A108" s="127" t="s">
        <v>327</v>
      </c>
      <c r="B108" s="131">
        <v>10</v>
      </c>
      <c r="C108" s="128">
        <v>216</v>
      </c>
    </row>
    <row r="109" spans="1:3" ht="18" customHeight="1">
      <c r="A109" s="127" t="s">
        <v>328</v>
      </c>
      <c r="B109" s="131">
        <v>10</v>
      </c>
      <c r="C109" s="128">
        <v>190</v>
      </c>
    </row>
    <row r="110" spans="1:3" ht="18" customHeight="1">
      <c r="A110" s="127" t="s">
        <v>329</v>
      </c>
      <c r="B110" s="131">
        <v>11</v>
      </c>
      <c r="C110" s="128">
        <v>225</v>
      </c>
    </row>
    <row r="111" spans="1:3" ht="18" customHeight="1">
      <c r="A111" s="127" t="s">
        <v>330</v>
      </c>
      <c r="B111" s="131">
        <f>41/4</f>
        <v>10.25</v>
      </c>
      <c r="C111" s="128">
        <f>800/4</f>
        <v>200</v>
      </c>
    </row>
    <row r="112" spans="1:3" ht="18" customHeight="1">
      <c r="A112" s="127" t="s">
        <v>331</v>
      </c>
      <c r="B112" s="131">
        <v>10</v>
      </c>
      <c r="C112" s="128">
        <v>195</v>
      </c>
    </row>
    <row r="113" spans="1:3" ht="18" customHeight="1">
      <c r="A113" s="127" t="s">
        <v>332</v>
      </c>
      <c r="B113" s="131">
        <f>20/2</f>
        <v>10</v>
      </c>
      <c r="C113" s="128">
        <f>386/2</f>
        <v>193</v>
      </c>
    </row>
    <row r="114" spans="1:3" ht="18" customHeight="1">
      <c r="A114" s="127" t="s">
        <v>333</v>
      </c>
      <c r="B114" s="131">
        <v>12</v>
      </c>
      <c r="C114" s="128">
        <v>224</v>
      </c>
    </row>
    <row r="115" spans="1:3" ht="18" customHeight="1">
      <c r="A115" s="127" t="s">
        <v>334</v>
      </c>
      <c r="B115" s="131">
        <f>31/3</f>
        <v>10.333333333333334</v>
      </c>
      <c r="C115" s="128">
        <f>584/3</f>
        <v>194.66666666666666</v>
      </c>
    </row>
    <row r="116" spans="1:6" ht="28.5" customHeight="1">
      <c r="A116" s="21" t="s">
        <v>224</v>
      </c>
      <c r="B116" s="173">
        <f>SUM(B87:B115)/29</f>
        <v>10.4683908045977</v>
      </c>
      <c r="C116" s="173">
        <f>SUM(C87:C115)/29</f>
        <v>202.41954022988506</v>
      </c>
      <c r="F116" s="159"/>
    </row>
    <row r="117" spans="1:6" s="123" customFormat="1" ht="18" customHeight="1">
      <c r="A117" s="148"/>
      <c r="B117" s="122"/>
      <c r="D117" s="122"/>
      <c r="E117" s="122"/>
      <c r="F117" s="122"/>
    </row>
    <row r="118" spans="1:6" s="34" customFormat="1" ht="12.75">
      <c r="A118" s="36" t="s">
        <v>158</v>
      </c>
      <c r="D118" s="122"/>
      <c r="E118" s="122"/>
      <c r="F118" s="122"/>
    </row>
    <row r="119" spans="1:6" s="34" customFormat="1" ht="12.75">
      <c r="A119" s="36" t="s">
        <v>426</v>
      </c>
      <c r="D119" s="122"/>
      <c r="E119" s="122"/>
      <c r="F119" s="159"/>
    </row>
    <row r="120" ht="10.5">
      <c r="A120" s="161"/>
    </row>
    <row r="121" spans="1:6" ht="11.25">
      <c r="A121" s="160"/>
      <c r="F121" s="159"/>
    </row>
    <row r="122" spans="1:7" s="11" customFormat="1" ht="97.5" customHeight="1">
      <c r="A122" s="24" t="s">
        <v>9</v>
      </c>
      <c r="B122" s="248" t="s">
        <v>20</v>
      </c>
      <c r="C122" s="250"/>
      <c r="D122" s="122"/>
      <c r="E122" s="122"/>
      <c r="F122" s="159"/>
      <c r="G122" s="122"/>
    </row>
    <row r="123" spans="1:6" s="11" customFormat="1" ht="39.75" customHeight="1">
      <c r="A123" s="167" t="s">
        <v>269</v>
      </c>
      <c r="B123" s="168" t="s">
        <v>458</v>
      </c>
      <c r="C123" s="168" t="s">
        <v>469</v>
      </c>
      <c r="D123" s="160"/>
      <c r="E123" s="160"/>
      <c r="F123" s="160"/>
    </row>
    <row r="124" spans="1:6" ht="18" customHeight="1">
      <c r="A124" s="127" t="s">
        <v>130</v>
      </c>
      <c r="B124" s="131">
        <v>11</v>
      </c>
      <c r="C124" s="128">
        <v>217</v>
      </c>
      <c r="F124" s="159"/>
    </row>
    <row r="125" spans="1:3" ht="18" customHeight="1">
      <c r="A125" s="127" t="s">
        <v>129</v>
      </c>
      <c r="B125" s="131">
        <v>11</v>
      </c>
      <c r="C125" s="128">
        <v>211</v>
      </c>
    </row>
    <row r="126" spans="1:6" ht="18" customHeight="1">
      <c r="A126" s="127" t="s">
        <v>128</v>
      </c>
      <c r="B126" s="131">
        <f>21/2</f>
        <v>10.5</v>
      </c>
      <c r="C126" s="128">
        <f>420/2</f>
        <v>210</v>
      </c>
      <c r="F126" s="159"/>
    </row>
    <row r="127" spans="1:3" ht="18" customHeight="1">
      <c r="A127" s="127" t="s">
        <v>127</v>
      </c>
      <c r="B127" s="131">
        <v>11</v>
      </c>
      <c r="C127" s="128">
        <v>216</v>
      </c>
    </row>
    <row r="128" spans="1:6" ht="18" customHeight="1">
      <c r="A128" s="127" t="s">
        <v>126</v>
      </c>
      <c r="B128" s="131">
        <v>11</v>
      </c>
      <c r="C128" s="128">
        <v>210</v>
      </c>
      <c r="F128" s="159"/>
    </row>
    <row r="129" spans="1:3" ht="18" customHeight="1">
      <c r="A129" s="127" t="s">
        <v>254</v>
      </c>
      <c r="B129" s="131">
        <f>588/54</f>
        <v>10.88888888888889</v>
      </c>
      <c r="C129" s="128">
        <f>11142/54</f>
        <v>206.33333333333334</v>
      </c>
    </row>
    <row r="130" spans="1:6" ht="18" customHeight="1">
      <c r="A130" s="127" t="s">
        <v>125</v>
      </c>
      <c r="B130" s="131">
        <v>11</v>
      </c>
      <c r="C130" s="128">
        <v>208</v>
      </c>
      <c r="F130" s="159"/>
    </row>
    <row r="131" spans="1:3" ht="18" customHeight="1">
      <c r="A131" s="127" t="s">
        <v>124</v>
      </c>
      <c r="B131" s="131">
        <v>11</v>
      </c>
      <c r="C131" s="128">
        <v>218</v>
      </c>
    </row>
    <row r="132" spans="1:6" ht="18" customHeight="1">
      <c r="A132" s="127" t="s">
        <v>123</v>
      </c>
      <c r="B132" s="131">
        <v>11</v>
      </c>
      <c r="C132" s="128">
        <v>211</v>
      </c>
      <c r="F132" s="159"/>
    </row>
    <row r="133" spans="1:3" ht="18" customHeight="1">
      <c r="A133" s="127" t="s">
        <v>122</v>
      </c>
      <c r="B133" s="131">
        <f>62/6</f>
        <v>10.333333333333334</v>
      </c>
      <c r="C133" s="128">
        <f>1210/6</f>
        <v>201.66666666666666</v>
      </c>
    </row>
    <row r="134" spans="1:6" ht="18" customHeight="1">
      <c r="A134" s="127" t="s">
        <v>121</v>
      </c>
      <c r="B134" s="131">
        <f>21/2</f>
        <v>10.5</v>
      </c>
      <c r="C134" s="128">
        <f>420/2</f>
        <v>210</v>
      </c>
      <c r="F134" s="159"/>
    </row>
    <row r="135" spans="1:3" ht="18" customHeight="1">
      <c r="A135" s="127" t="s">
        <v>120</v>
      </c>
      <c r="B135" s="131">
        <f>22/2</f>
        <v>11</v>
      </c>
      <c r="C135" s="128">
        <f>424/2</f>
        <v>212</v>
      </c>
    </row>
    <row r="136" spans="1:6" ht="18" customHeight="1">
      <c r="A136" s="127" t="s">
        <v>119</v>
      </c>
      <c r="B136" s="131">
        <v>11</v>
      </c>
      <c r="C136" s="128">
        <v>213</v>
      </c>
      <c r="F136" s="159"/>
    </row>
    <row r="137" spans="1:3" ht="18" customHeight="1">
      <c r="A137" s="127" t="s">
        <v>335</v>
      </c>
      <c r="B137" s="131">
        <f>21/2</f>
        <v>10.5</v>
      </c>
      <c r="C137" s="128">
        <f>408/2</f>
        <v>204</v>
      </c>
    </row>
    <row r="138" spans="1:6" ht="18" customHeight="1">
      <c r="A138" s="127" t="s">
        <v>118</v>
      </c>
      <c r="B138" s="131">
        <v>10</v>
      </c>
      <c r="C138" s="128">
        <v>0</v>
      </c>
      <c r="F138" s="159"/>
    </row>
    <row r="139" spans="1:3" ht="18" customHeight="1">
      <c r="A139" s="127" t="s">
        <v>117</v>
      </c>
      <c r="B139" s="131">
        <v>11</v>
      </c>
      <c r="C139" s="128">
        <v>211</v>
      </c>
    </row>
    <row r="140" spans="1:6" ht="18" customHeight="1">
      <c r="A140" s="127" t="s">
        <v>116</v>
      </c>
      <c r="B140" s="131">
        <v>11</v>
      </c>
      <c r="C140" s="128">
        <v>212</v>
      </c>
      <c r="F140" s="159"/>
    </row>
    <row r="141" spans="1:3" ht="18" customHeight="1">
      <c r="A141" s="127" t="s">
        <v>115</v>
      </c>
      <c r="B141" s="131">
        <v>11</v>
      </c>
      <c r="C141" s="128">
        <v>215</v>
      </c>
    </row>
    <row r="142" spans="1:6" ht="18" customHeight="1">
      <c r="A142" s="127" t="s">
        <v>114</v>
      </c>
      <c r="B142" s="131">
        <v>11</v>
      </c>
      <c r="C142" s="128">
        <v>216</v>
      </c>
      <c r="F142" s="159"/>
    </row>
    <row r="143" spans="1:3" ht="18" customHeight="1">
      <c r="A143" s="127" t="s">
        <v>113</v>
      </c>
      <c r="B143" s="131">
        <v>11</v>
      </c>
      <c r="C143" s="128">
        <v>192</v>
      </c>
    </row>
    <row r="144" spans="1:6" ht="18" customHeight="1">
      <c r="A144" s="127" t="s">
        <v>336</v>
      </c>
      <c r="B144" s="131">
        <f>66/6</f>
        <v>11</v>
      </c>
      <c r="C144" s="128">
        <f>1278/6</f>
        <v>213</v>
      </c>
      <c r="F144" s="159"/>
    </row>
    <row r="145" spans="1:3" ht="18" customHeight="1">
      <c r="A145" s="127" t="s">
        <v>112</v>
      </c>
      <c r="B145" s="131">
        <f>21/2</f>
        <v>10.5</v>
      </c>
      <c r="C145" s="128">
        <f>434/2</f>
        <v>217</v>
      </c>
    </row>
    <row r="146" spans="1:6" ht="18" customHeight="1">
      <c r="A146" s="127" t="s">
        <v>111</v>
      </c>
      <c r="B146" s="131">
        <f>32/3</f>
        <v>10.666666666666666</v>
      </c>
      <c r="C146" s="128">
        <f>616/3</f>
        <v>205.33333333333334</v>
      </c>
      <c r="F146" s="159"/>
    </row>
    <row r="147" spans="1:3" ht="18" customHeight="1">
      <c r="A147" s="127" t="s">
        <v>110</v>
      </c>
      <c r="B147" s="131">
        <v>11</v>
      </c>
      <c r="C147" s="128">
        <v>215</v>
      </c>
    </row>
    <row r="148" spans="1:6" ht="18" customHeight="1">
      <c r="A148" s="127" t="s">
        <v>109</v>
      </c>
      <c r="B148" s="131">
        <f>21/2</f>
        <v>10.5</v>
      </c>
      <c r="C148" s="128">
        <f>428/2</f>
        <v>214</v>
      </c>
      <c r="F148" s="159"/>
    </row>
    <row r="149" spans="1:3" ht="18" customHeight="1">
      <c r="A149" s="127" t="s">
        <v>108</v>
      </c>
      <c r="B149" s="131">
        <v>11</v>
      </c>
      <c r="C149" s="128">
        <v>213</v>
      </c>
    </row>
    <row r="150" spans="1:6" ht="18" customHeight="1">
      <c r="A150" s="127" t="s">
        <v>107</v>
      </c>
      <c r="B150" s="131">
        <v>11</v>
      </c>
      <c r="C150" s="128">
        <v>215</v>
      </c>
      <c r="F150" s="159"/>
    </row>
    <row r="151" spans="1:3" ht="18" customHeight="1">
      <c r="A151" s="127" t="s">
        <v>106</v>
      </c>
      <c r="B151" s="131">
        <v>11</v>
      </c>
      <c r="C151" s="128">
        <v>215</v>
      </c>
    </row>
    <row r="152" spans="1:6" ht="18" customHeight="1">
      <c r="A152" s="127" t="s">
        <v>104</v>
      </c>
      <c r="B152" s="131">
        <v>11</v>
      </c>
      <c r="C152" s="128">
        <v>215</v>
      </c>
      <c r="F152" s="159"/>
    </row>
    <row r="153" spans="1:3" ht="18" customHeight="1">
      <c r="A153" s="127" t="s">
        <v>103</v>
      </c>
      <c r="B153" s="131">
        <v>11</v>
      </c>
      <c r="C153" s="128">
        <v>223</v>
      </c>
    </row>
    <row r="154" spans="1:6" ht="18" customHeight="1">
      <c r="A154" s="127" t="s">
        <v>102</v>
      </c>
      <c r="B154" s="131">
        <v>11</v>
      </c>
      <c r="C154" s="128">
        <v>203</v>
      </c>
      <c r="F154" s="159"/>
    </row>
    <row r="155" spans="1:3" ht="18" customHeight="1">
      <c r="A155" s="127" t="s">
        <v>101</v>
      </c>
      <c r="B155" s="131">
        <v>11</v>
      </c>
      <c r="C155" s="128">
        <v>200</v>
      </c>
    </row>
    <row r="156" spans="1:6" s="11" customFormat="1" ht="39.75" customHeight="1">
      <c r="A156" s="167" t="s">
        <v>269</v>
      </c>
      <c r="B156" s="168" t="s">
        <v>458</v>
      </c>
      <c r="C156" s="168" t="s">
        <v>469</v>
      </c>
      <c r="D156" s="160"/>
      <c r="E156" s="160"/>
      <c r="F156" s="160"/>
    </row>
    <row r="157" spans="1:6" ht="18" customHeight="1">
      <c r="A157" s="127" t="s">
        <v>100</v>
      </c>
      <c r="B157" s="131">
        <v>11</v>
      </c>
      <c r="C157" s="128">
        <v>215</v>
      </c>
      <c r="F157" s="159"/>
    </row>
    <row r="158" spans="1:3" ht="18" customHeight="1">
      <c r="A158" s="127" t="s">
        <v>99</v>
      </c>
      <c r="B158" s="131">
        <f>33/3</f>
        <v>11</v>
      </c>
      <c r="C158" s="128">
        <f>630/3</f>
        <v>210</v>
      </c>
    </row>
    <row r="159" spans="1:6" ht="18" customHeight="1">
      <c r="A159" s="127" t="s">
        <v>98</v>
      </c>
      <c r="B159" s="131">
        <f>44/4</f>
        <v>11</v>
      </c>
      <c r="C159" s="128">
        <f>836/4</f>
        <v>209</v>
      </c>
      <c r="F159" s="159"/>
    </row>
    <row r="160" spans="1:3" ht="18" customHeight="1">
      <c r="A160" s="127" t="s">
        <v>97</v>
      </c>
      <c r="B160" s="131">
        <f>22/2</f>
        <v>11</v>
      </c>
      <c r="C160" s="128">
        <f>410/2</f>
        <v>205</v>
      </c>
    </row>
    <row r="161" spans="1:6" ht="18" customHeight="1">
      <c r="A161" s="127" t="s">
        <v>242</v>
      </c>
      <c r="B161" s="131">
        <v>11</v>
      </c>
      <c r="C161" s="128">
        <v>229</v>
      </c>
      <c r="F161" s="159"/>
    </row>
    <row r="162" spans="1:3" ht="18" customHeight="1">
      <c r="A162" s="127" t="s">
        <v>96</v>
      </c>
      <c r="B162" s="131">
        <f>22/2</f>
        <v>11</v>
      </c>
      <c r="C162" s="128">
        <f>404/2</f>
        <v>202</v>
      </c>
    </row>
    <row r="163" spans="1:6" ht="18" customHeight="1">
      <c r="A163" s="127" t="s">
        <v>95</v>
      </c>
      <c r="B163" s="131">
        <v>11</v>
      </c>
      <c r="C163" s="128">
        <v>202</v>
      </c>
      <c r="F163" s="159"/>
    </row>
    <row r="164" spans="1:3" ht="18" customHeight="1">
      <c r="A164" s="127" t="s">
        <v>241</v>
      </c>
      <c r="B164" s="131">
        <f>44/4</f>
        <v>11</v>
      </c>
      <c r="C164" s="128">
        <f>900/4</f>
        <v>225</v>
      </c>
    </row>
    <row r="165" spans="1:6" ht="28.5" customHeight="1">
      <c r="A165" s="21" t="s">
        <v>225</v>
      </c>
      <c r="B165" s="173">
        <f>SUM(B124:B164)/40</f>
        <v>10.884722222222223</v>
      </c>
      <c r="C165" s="173">
        <f>SUM(C124:C164)/39</f>
        <v>211.26495726495725</v>
      </c>
      <c r="F165" s="159"/>
    </row>
    <row r="167" spans="1:6" ht="11.25">
      <c r="A167" s="154" t="s">
        <v>481</v>
      </c>
      <c r="F167" s="159"/>
    </row>
    <row r="169" ht="11.25">
      <c r="F169" s="159"/>
    </row>
    <row r="170" spans="1:7" s="11" customFormat="1" ht="97.5" customHeight="1">
      <c r="A170" s="24" t="s">
        <v>9</v>
      </c>
      <c r="B170" s="248" t="s">
        <v>21</v>
      </c>
      <c r="C170" s="250"/>
      <c r="D170" s="122"/>
      <c r="E170" s="122"/>
      <c r="F170" s="159"/>
      <c r="G170" s="122"/>
    </row>
    <row r="171" spans="1:6" s="11" customFormat="1" ht="39.75" customHeight="1">
      <c r="A171" s="167" t="s">
        <v>269</v>
      </c>
      <c r="B171" s="168" t="s">
        <v>458</v>
      </c>
      <c r="C171" s="168" t="s">
        <v>469</v>
      </c>
      <c r="D171" s="160"/>
      <c r="E171" s="160"/>
      <c r="F171" s="160"/>
    </row>
    <row r="172" spans="1:6" ht="18" customHeight="1">
      <c r="A172" s="127" t="s">
        <v>159</v>
      </c>
      <c r="B172" s="131">
        <v>11</v>
      </c>
      <c r="C172" s="128">
        <v>203</v>
      </c>
      <c r="F172" s="159"/>
    </row>
    <row r="173" spans="1:3" ht="18" customHeight="1">
      <c r="A173" s="127" t="s">
        <v>160</v>
      </c>
      <c r="B173" s="131">
        <v>11</v>
      </c>
      <c r="C173" s="128">
        <v>204</v>
      </c>
    </row>
    <row r="174" spans="1:6" ht="18" customHeight="1">
      <c r="A174" s="127" t="s">
        <v>161</v>
      </c>
      <c r="B174" s="131">
        <v>11</v>
      </c>
      <c r="C174" s="128">
        <v>212</v>
      </c>
      <c r="F174" s="159"/>
    </row>
    <row r="175" spans="1:3" ht="18" customHeight="1">
      <c r="A175" s="127" t="s">
        <v>162</v>
      </c>
      <c r="B175" s="131">
        <v>11</v>
      </c>
      <c r="C175" s="128">
        <f>633/3</f>
        <v>211</v>
      </c>
    </row>
    <row r="176" spans="1:6" ht="18" customHeight="1">
      <c r="A176" s="127" t="s">
        <v>163</v>
      </c>
      <c r="B176" s="131">
        <v>11</v>
      </c>
      <c r="C176" s="128">
        <v>235</v>
      </c>
      <c r="F176" s="159"/>
    </row>
    <row r="177" spans="1:3" ht="18" customHeight="1">
      <c r="A177" s="127" t="s">
        <v>164</v>
      </c>
      <c r="B177" s="131">
        <v>11</v>
      </c>
      <c r="C177" s="128">
        <f>426/2</f>
        <v>213</v>
      </c>
    </row>
    <row r="178" spans="1:6" ht="18" customHeight="1">
      <c r="A178" s="127" t="s">
        <v>255</v>
      </c>
      <c r="B178" s="131">
        <v>10.357142857142858</v>
      </c>
      <c r="C178" s="128">
        <f>2730/14</f>
        <v>195</v>
      </c>
      <c r="F178" s="159"/>
    </row>
    <row r="179" spans="1:3" ht="18" customHeight="1">
      <c r="A179" s="127" t="s">
        <v>165</v>
      </c>
      <c r="B179" s="131">
        <v>10</v>
      </c>
      <c r="C179" s="128">
        <v>205</v>
      </c>
    </row>
    <row r="180" spans="1:6" ht="18" customHeight="1">
      <c r="A180" s="127" t="s">
        <v>166</v>
      </c>
      <c r="B180" s="131">
        <v>10</v>
      </c>
      <c r="C180" s="128">
        <v>200</v>
      </c>
      <c r="F180" s="159"/>
    </row>
    <row r="181" spans="1:3" ht="18" customHeight="1">
      <c r="A181" s="127" t="s">
        <v>167</v>
      </c>
      <c r="B181" s="131">
        <v>11</v>
      </c>
      <c r="C181" s="128">
        <v>207</v>
      </c>
    </row>
    <row r="182" spans="1:6" ht="18" customHeight="1">
      <c r="A182" s="127" t="s">
        <v>168</v>
      </c>
      <c r="B182" s="131">
        <v>10</v>
      </c>
      <c r="C182" s="128">
        <v>186</v>
      </c>
      <c r="F182" s="159"/>
    </row>
    <row r="183" spans="1:3" ht="18" customHeight="1">
      <c r="A183" s="127" t="s">
        <v>169</v>
      </c>
      <c r="B183" s="131">
        <v>11</v>
      </c>
      <c r="C183" s="128">
        <v>190</v>
      </c>
    </row>
    <row r="184" spans="1:6" ht="18" customHeight="1">
      <c r="A184" s="127" t="s">
        <v>154</v>
      </c>
      <c r="B184" s="131">
        <v>11</v>
      </c>
      <c r="C184" s="128">
        <v>202</v>
      </c>
      <c r="F184" s="159"/>
    </row>
    <row r="185" spans="1:3" ht="18" customHeight="1">
      <c r="A185" s="127" t="s">
        <v>155</v>
      </c>
      <c r="B185" s="131">
        <v>11</v>
      </c>
      <c r="C185" s="128">
        <v>225</v>
      </c>
    </row>
    <row r="186" spans="1:6" ht="18" customHeight="1">
      <c r="A186" s="127" t="s">
        <v>156</v>
      </c>
      <c r="B186" s="131">
        <v>11</v>
      </c>
      <c r="C186" s="128">
        <v>202</v>
      </c>
      <c r="F186" s="159"/>
    </row>
    <row r="187" spans="1:6" ht="28.5" customHeight="1">
      <c r="A187" s="21" t="s">
        <v>226</v>
      </c>
      <c r="B187" s="173">
        <f>SUM(B172:B186)/15</f>
        <v>10.757142857142858</v>
      </c>
      <c r="C187" s="173">
        <f>SUM(C172:C186)/15</f>
        <v>206</v>
      </c>
      <c r="F187" s="159"/>
    </row>
    <row r="188" spans="1:6" ht="24.75" customHeight="1">
      <c r="A188" s="50"/>
      <c r="F188" s="159"/>
    </row>
    <row r="189" ht="12.75">
      <c r="A189" s="57" t="s">
        <v>157</v>
      </c>
    </row>
    <row r="190" ht="11.25">
      <c r="F190" s="159"/>
    </row>
    <row r="192" spans="1:7" s="11" customFormat="1" ht="97.5" customHeight="1">
      <c r="A192" s="24" t="s">
        <v>9</v>
      </c>
      <c r="B192" s="248" t="s">
        <v>22</v>
      </c>
      <c r="C192" s="250"/>
      <c r="D192" s="122"/>
      <c r="E192" s="122"/>
      <c r="F192" s="159"/>
      <c r="G192" s="122"/>
    </row>
    <row r="193" spans="1:6" s="11" customFormat="1" ht="39.75" customHeight="1">
      <c r="A193" s="167" t="s">
        <v>269</v>
      </c>
      <c r="B193" s="168" t="s">
        <v>458</v>
      </c>
      <c r="C193" s="168" t="s">
        <v>469</v>
      </c>
      <c r="D193" s="160"/>
      <c r="E193" s="160"/>
      <c r="F193" s="160"/>
    </row>
    <row r="194" spans="1:3" ht="18" customHeight="1">
      <c r="A194" s="127" t="s">
        <v>337</v>
      </c>
      <c r="B194" s="131">
        <v>11</v>
      </c>
      <c r="C194" s="128">
        <v>206</v>
      </c>
    </row>
    <row r="195" spans="1:6" ht="18" customHeight="1">
      <c r="A195" s="127" t="s">
        <v>338</v>
      </c>
      <c r="B195" s="131">
        <f>21/2</f>
        <v>10.5</v>
      </c>
      <c r="C195" s="128">
        <f>434/2</f>
        <v>217</v>
      </c>
      <c r="F195" s="159"/>
    </row>
    <row r="196" spans="1:3" ht="18" customHeight="1">
      <c r="A196" s="127" t="s">
        <v>237</v>
      </c>
      <c r="B196" s="131">
        <v>11</v>
      </c>
      <c r="C196" s="128">
        <v>215</v>
      </c>
    </row>
    <row r="197" spans="1:6" ht="18" customHeight="1">
      <c r="A197" s="127" t="s">
        <v>339</v>
      </c>
      <c r="B197" s="131">
        <v>12</v>
      </c>
      <c r="C197" s="128">
        <v>225</v>
      </c>
      <c r="F197" s="159"/>
    </row>
    <row r="198" spans="1:3" ht="18" customHeight="1">
      <c r="A198" s="127" t="s">
        <v>236</v>
      </c>
      <c r="B198" s="131">
        <f>22/2</f>
        <v>11</v>
      </c>
      <c r="C198" s="128">
        <f>414/2</f>
        <v>207</v>
      </c>
    </row>
    <row r="199" spans="1:6" ht="18" customHeight="1">
      <c r="A199" s="127" t="s">
        <v>235</v>
      </c>
      <c r="B199" s="131">
        <v>11</v>
      </c>
      <c r="C199" s="128">
        <v>215</v>
      </c>
      <c r="F199" s="159"/>
    </row>
    <row r="200" spans="1:3" ht="18" customHeight="1">
      <c r="A200" s="127" t="s">
        <v>234</v>
      </c>
      <c r="B200" s="131">
        <v>11</v>
      </c>
      <c r="C200" s="128">
        <v>213</v>
      </c>
    </row>
    <row r="201" spans="1:6" ht="18" customHeight="1">
      <c r="A201" s="127" t="s">
        <v>233</v>
      </c>
      <c r="B201" s="131">
        <f>24/2</f>
        <v>12</v>
      </c>
      <c r="C201" s="128">
        <f>448/2</f>
        <v>224</v>
      </c>
      <c r="F201" s="159"/>
    </row>
    <row r="202" spans="1:3" ht="18" customHeight="1">
      <c r="A202" s="127" t="s">
        <v>232</v>
      </c>
      <c r="B202" s="131">
        <f>22/2</f>
        <v>11</v>
      </c>
      <c r="C202" s="128">
        <f>450/2</f>
        <v>225</v>
      </c>
    </row>
    <row r="203" spans="1:6" ht="18" customHeight="1">
      <c r="A203" s="127" t="s">
        <v>256</v>
      </c>
      <c r="B203" s="131">
        <f>99/10</f>
        <v>9.9</v>
      </c>
      <c r="C203" s="128">
        <f>1870/10</f>
        <v>187</v>
      </c>
      <c r="F203" s="159"/>
    </row>
    <row r="204" spans="1:3" ht="18" customHeight="1">
      <c r="A204" s="127" t="s">
        <v>231</v>
      </c>
      <c r="B204" s="131">
        <v>11</v>
      </c>
      <c r="C204" s="128">
        <v>216</v>
      </c>
    </row>
    <row r="205" spans="1:6" ht="18" customHeight="1">
      <c r="A205" s="127" t="s">
        <v>340</v>
      </c>
      <c r="B205" s="131">
        <v>11</v>
      </c>
      <c r="C205" s="128">
        <v>214</v>
      </c>
      <c r="F205" s="159"/>
    </row>
    <row r="206" spans="1:3" ht="28.5" customHeight="1">
      <c r="A206" s="21" t="s">
        <v>182</v>
      </c>
      <c r="B206" s="173">
        <f>SUM(B194:B205)/12</f>
        <v>11.033333333333333</v>
      </c>
      <c r="C206" s="173">
        <f>SUM(C194:C205)/12</f>
        <v>213.66666666666666</v>
      </c>
    </row>
    <row r="207" ht="11.25">
      <c r="F207" s="159"/>
    </row>
    <row r="209" spans="1:7" s="11" customFormat="1" ht="97.5" customHeight="1">
      <c r="A209" s="24" t="s">
        <v>9</v>
      </c>
      <c r="B209" s="248" t="s">
        <v>23</v>
      </c>
      <c r="C209" s="250"/>
      <c r="D209" s="122"/>
      <c r="E209" s="122"/>
      <c r="F209" s="159"/>
      <c r="G209" s="122"/>
    </row>
    <row r="210" spans="1:6" s="11" customFormat="1" ht="39.75" customHeight="1">
      <c r="A210" s="167" t="s">
        <v>269</v>
      </c>
      <c r="B210" s="168" t="s">
        <v>458</v>
      </c>
      <c r="C210" s="168" t="s">
        <v>469</v>
      </c>
      <c r="D210" s="160"/>
      <c r="E210" s="160"/>
      <c r="F210" s="160"/>
    </row>
    <row r="211" spans="1:3" ht="18" customHeight="1">
      <c r="A211" s="127" t="s">
        <v>341</v>
      </c>
      <c r="B211" s="131">
        <v>10</v>
      </c>
      <c r="C211" s="128">
        <v>187</v>
      </c>
    </row>
    <row r="212" spans="1:6" ht="25.5" customHeight="1">
      <c r="A212" s="127" t="s">
        <v>153</v>
      </c>
      <c r="B212" s="131">
        <v>10</v>
      </c>
      <c r="C212" s="128">
        <v>196</v>
      </c>
      <c r="F212" s="159"/>
    </row>
    <row r="213" spans="1:3" ht="18" customHeight="1">
      <c r="A213" s="127" t="s">
        <v>152</v>
      </c>
      <c r="B213" s="131">
        <f>73/7</f>
        <v>10.428571428571429</v>
      </c>
      <c r="C213" s="128">
        <f>1403/7</f>
        <v>200.42857142857142</v>
      </c>
    </row>
    <row r="214" spans="1:6" ht="18" customHeight="1">
      <c r="A214" s="127" t="s">
        <v>151</v>
      </c>
      <c r="B214" s="131">
        <v>11</v>
      </c>
      <c r="C214" s="128">
        <v>221</v>
      </c>
      <c r="F214" s="159"/>
    </row>
    <row r="215" spans="1:3" ht="18" customHeight="1">
      <c r="A215" s="127" t="s">
        <v>150</v>
      </c>
      <c r="B215" s="131">
        <f>92/9</f>
        <v>10.222222222222221</v>
      </c>
      <c r="C215" s="128">
        <f>1759/9</f>
        <v>195.44444444444446</v>
      </c>
    </row>
    <row r="216" spans="1:6" ht="18" customHeight="1">
      <c r="A216" s="127" t="s">
        <v>149</v>
      </c>
      <c r="B216" s="131">
        <v>10</v>
      </c>
      <c r="C216" s="128">
        <v>183</v>
      </c>
      <c r="F216" s="159"/>
    </row>
    <row r="217" spans="1:3" ht="18" customHeight="1">
      <c r="A217" s="127" t="s">
        <v>148</v>
      </c>
      <c r="B217" s="131">
        <v>11</v>
      </c>
      <c r="C217" s="128">
        <v>210</v>
      </c>
    </row>
    <row r="218" spans="1:6" ht="18" customHeight="1">
      <c r="A218" s="127" t="s">
        <v>147</v>
      </c>
      <c r="B218" s="131">
        <v>11</v>
      </c>
      <c r="C218" s="128">
        <v>210</v>
      </c>
      <c r="F218" s="159"/>
    </row>
    <row r="219" spans="1:3" ht="18" customHeight="1">
      <c r="A219" s="127" t="s">
        <v>146</v>
      </c>
      <c r="B219" s="131">
        <v>10</v>
      </c>
      <c r="C219" s="128">
        <v>200</v>
      </c>
    </row>
    <row r="220" spans="1:6" ht="18" customHeight="1">
      <c r="A220" s="127" t="s">
        <v>145</v>
      </c>
      <c r="B220" s="131">
        <v>11</v>
      </c>
      <c r="C220" s="128">
        <v>209</v>
      </c>
      <c r="F220" s="159"/>
    </row>
    <row r="221" spans="1:3" ht="18" customHeight="1">
      <c r="A221" s="127" t="s">
        <v>144</v>
      </c>
      <c r="B221" s="131">
        <v>11</v>
      </c>
      <c r="C221" s="128">
        <v>207</v>
      </c>
    </row>
    <row r="222" spans="1:6" ht="28.5" customHeight="1">
      <c r="A222" s="21" t="s">
        <v>183</v>
      </c>
      <c r="B222" s="173">
        <f>SUM(B211:B221)/11</f>
        <v>10.513708513708513</v>
      </c>
      <c r="C222" s="173">
        <f>SUM(C211:C221)/11</f>
        <v>201.71572871572872</v>
      </c>
      <c r="F222" s="159"/>
    </row>
    <row r="224" ht="11.25">
      <c r="F224" s="159"/>
    </row>
    <row r="225" spans="1:7" s="11" customFormat="1" ht="97.5" customHeight="1">
      <c r="A225" s="24" t="s">
        <v>9</v>
      </c>
      <c r="B225" s="248" t="s">
        <v>24</v>
      </c>
      <c r="C225" s="250"/>
      <c r="D225" s="122"/>
      <c r="E225" s="122"/>
      <c r="F225" s="159"/>
      <c r="G225" s="122"/>
    </row>
    <row r="226" spans="1:6" s="11" customFormat="1" ht="39.75" customHeight="1">
      <c r="A226" s="167" t="s">
        <v>269</v>
      </c>
      <c r="B226" s="168" t="s">
        <v>458</v>
      </c>
      <c r="C226" s="168" t="s">
        <v>469</v>
      </c>
      <c r="D226" s="160"/>
      <c r="E226" s="160"/>
      <c r="F226" s="160"/>
    </row>
    <row r="227" spans="1:6" ht="18" customHeight="1">
      <c r="A227" s="127" t="s">
        <v>342</v>
      </c>
      <c r="B227" s="131">
        <v>11</v>
      </c>
      <c r="C227" s="128">
        <v>224</v>
      </c>
      <c r="F227" s="159"/>
    </row>
    <row r="228" spans="1:3" ht="18" customHeight="1">
      <c r="A228" s="127" t="s">
        <v>343</v>
      </c>
      <c r="B228" s="131">
        <v>12</v>
      </c>
      <c r="C228" s="128">
        <v>234</v>
      </c>
    </row>
    <row r="229" spans="1:6" ht="18" customHeight="1">
      <c r="A229" s="127" t="s">
        <v>345</v>
      </c>
      <c r="B229" s="131">
        <v>12</v>
      </c>
      <c r="C229" s="128">
        <v>237</v>
      </c>
      <c r="F229" s="159"/>
    </row>
    <row r="230" spans="1:3" ht="18" customHeight="1">
      <c r="A230" s="127" t="s">
        <v>346</v>
      </c>
      <c r="B230" s="131">
        <v>10</v>
      </c>
      <c r="C230" s="128">
        <v>190</v>
      </c>
    </row>
    <row r="231" spans="1:6" ht="18" customHeight="1">
      <c r="A231" s="127" t="s">
        <v>348</v>
      </c>
      <c r="B231" s="131">
        <f>48/4</f>
        <v>12</v>
      </c>
      <c r="C231" s="128">
        <f>956/4</f>
        <v>239</v>
      </c>
      <c r="F231" s="159"/>
    </row>
    <row r="232" spans="1:3" ht="18" customHeight="1">
      <c r="A232" s="127" t="s">
        <v>258</v>
      </c>
      <c r="B232" s="131">
        <f>114/11</f>
        <v>10.363636363636363</v>
      </c>
      <c r="C232" s="128">
        <f>2138/11</f>
        <v>194.36363636363637</v>
      </c>
    </row>
    <row r="233" spans="1:6" ht="18" customHeight="1">
      <c r="A233" s="127" t="s">
        <v>350</v>
      </c>
      <c r="B233" s="131">
        <v>11</v>
      </c>
      <c r="C233" s="128">
        <v>209</v>
      </c>
      <c r="F233" s="159"/>
    </row>
    <row r="234" spans="1:3" ht="18" customHeight="1">
      <c r="A234" s="127" t="s">
        <v>351</v>
      </c>
      <c r="B234" s="131">
        <v>10</v>
      </c>
      <c r="C234" s="128">
        <v>188</v>
      </c>
    </row>
    <row r="235" spans="1:6" ht="28.5" customHeight="1">
      <c r="A235" s="21" t="s">
        <v>184</v>
      </c>
      <c r="B235" s="173">
        <f>SUM(B227:B234)/8</f>
        <v>11.045454545454545</v>
      </c>
      <c r="C235" s="173">
        <f>SUM(C227:C234)/8</f>
        <v>214.42045454545456</v>
      </c>
      <c r="F235" s="159"/>
    </row>
    <row r="236" ht="12.75">
      <c r="A236" s="50"/>
    </row>
    <row r="237" spans="1:6" ht="12.75">
      <c r="A237" s="37" t="s">
        <v>276</v>
      </c>
      <c r="F237" s="159"/>
    </row>
    <row r="238" ht="10.5">
      <c r="A238" s="122"/>
    </row>
    <row r="239" ht="11.25">
      <c r="F239" s="159"/>
    </row>
    <row r="241" ht="11.25">
      <c r="F241" s="159"/>
    </row>
    <row r="243" ht="11.25">
      <c r="F243" s="159"/>
    </row>
    <row r="245" ht="11.25">
      <c r="F245" s="159"/>
    </row>
    <row r="247" ht="11.25">
      <c r="F247" s="159"/>
    </row>
    <row r="249" ht="11.25">
      <c r="F249" s="159"/>
    </row>
    <row r="251" ht="11.25">
      <c r="F251" s="159"/>
    </row>
    <row r="253" ht="11.25">
      <c r="F253" s="159"/>
    </row>
    <row r="255" ht="11.25">
      <c r="F255" s="159"/>
    </row>
    <row r="257" ht="11.25">
      <c r="F257" s="159"/>
    </row>
    <row r="259" ht="11.25">
      <c r="F259" s="159"/>
    </row>
    <row r="261" ht="11.25">
      <c r="F261" s="159"/>
    </row>
    <row r="263" ht="11.25">
      <c r="F263" s="159"/>
    </row>
    <row r="265" ht="11.25">
      <c r="F265" s="159"/>
    </row>
    <row r="267" ht="11.25">
      <c r="F267" s="159"/>
    </row>
    <row r="269" ht="11.25">
      <c r="F269" s="159"/>
    </row>
    <row r="271" ht="11.25">
      <c r="F271" s="159"/>
    </row>
    <row r="273" ht="11.25">
      <c r="F273" s="159"/>
    </row>
    <row r="275" ht="11.25">
      <c r="F275" s="159"/>
    </row>
    <row r="277" ht="11.25">
      <c r="F277" s="159"/>
    </row>
    <row r="279" ht="11.25">
      <c r="F279" s="159"/>
    </row>
    <row r="281" ht="11.25">
      <c r="F281" s="159"/>
    </row>
    <row r="283" ht="11.25">
      <c r="F283" s="159"/>
    </row>
    <row r="285" ht="11.25">
      <c r="F285" s="159"/>
    </row>
    <row r="287" ht="11.25">
      <c r="F287" s="159"/>
    </row>
    <row r="289" ht="11.25">
      <c r="F289" s="159"/>
    </row>
    <row r="291" ht="11.25">
      <c r="F291" s="159"/>
    </row>
    <row r="293" ht="11.25">
      <c r="F293" s="159"/>
    </row>
  </sheetData>
  <mergeCells count="11">
    <mergeCell ref="B1:C1"/>
    <mergeCell ref="A14:C14"/>
    <mergeCell ref="B85:C85"/>
    <mergeCell ref="B122:C122"/>
    <mergeCell ref="B16:C16"/>
    <mergeCell ref="B29:C29"/>
    <mergeCell ref="B51:C51"/>
    <mergeCell ref="B209:C209"/>
    <mergeCell ref="B225:C225"/>
    <mergeCell ref="B170:C170"/>
    <mergeCell ref="B192:C192"/>
  </mergeCells>
  <printOptions/>
  <pageMargins left="0.75" right="0.75" top="1" bottom="1" header="0.5" footer="0.5"/>
  <pageSetup horizontalDpi="600" verticalDpi="600" orientation="portrait" paperSize="9" scale="91" r:id="rId1"/>
  <rowBreaks count="3" manualBreakCount="3">
    <brk id="15" max="255" man="1"/>
    <brk id="84" max="255" man="1"/>
    <brk id="15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7"/>
  <sheetViews>
    <sheetView zoomScale="75" zoomScaleNormal="75" workbookViewId="0" topLeftCell="A1">
      <selection activeCell="E1" sqref="E1"/>
    </sheetView>
  </sheetViews>
  <sheetFormatPr defaultColWidth="9.140625" defaultRowHeight="12.75"/>
  <cols>
    <col min="1" max="1" width="24.8515625" style="0" customWidth="1"/>
    <col min="2" max="2" width="11.28125" style="0" customWidth="1"/>
    <col min="3" max="3" width="13.8515625" style="0" customWidth="1"/>
    <col min="7" max="7" width="11.421875" style="0" bestFit="1" customWidth="1"/>
    <col min="9" max="9" width="10.7109375" style="0" customWidth="1"/>
    <col min="10" max="10" width="17.421875" style="0" bestFit="1" customWidth="1"/>
  </cols>
  <sheetData>
    <row r="1" spans="1:12" s="2" customFormat="1" ht="117" customHeight="1">
      <c r="A1" s="126" t="s">
        <v>15</v>
      </c>
      <c r="B1" s="237" t="s">
        <v>43</v>
      </c>
      <c r="C1" s="252"/>
      <c r="D1" s="20"/>
      <c r="E1" s="20"/>
      <c r="F1" s="159"/>
      <c r="G1" s="159"/>
      <c r="H1" s="20"/>
      <c r="I1" s="20"/>
      <c r="J1" s="20"/>
      <c r="K1" s="20"/>
      <c r="L1" s="20"/>
    </row>
    <row r="2" spans="1:3" s="160" customFormat="1" ht="39.75" customHeight="1">
      <c r="A2" s="203" t="s">
        <v>185</v>
      </c>
      <c r="B2" s="204" t="s">
        <v>458</v>
      </c>
      <c r="C2" s="204" t="s">
        <v>464</v>
      </c>
    </row>
    <row r="3" spans="1:3" s="196" customFormat="1" ht="15" customHeight="1">
      <c r="A3" s="226" t="s">
        <v>250</v>
      </c>
      <c r="B3" s="231">
        <f>B26</f>
        <v>10.4</v>
      </c>
      <c r="C3" s="229">
        <f>C26</f>
        <v>205</v>
      </c>
    </row>
    <row r="4" spans="1:3" s="175" customFormat="1" ht="15" customHeight="1">
      <c r="A4" s="227" t="s">
        <v>251</v>
      </c>
      <c r="B4" s="231">
        <f>B38</f>
        <v>10.78125</v>
      </c>
      <c r="C4" s="229">
        <f>C38</f>
        <v>212.5</v>
      </c>
    </row>
    <row r="5" spans="1:3" s="175" customFormat="1" ht="15" customHeight="1">
      <c r="A5" s="227" t="s">
        <v>252</v>
      </c>
      <c r="B5" s="231">
        <f>B49</f>
        <v>10.826530612244897</v>
      </c>
      <c r="C5" s="229">
        <f>C49</f>
        <v>214.36734693877548</v>
      </c>
    </row>
    <row r="6" spans="1:3" s="175" customFormat="1" ht="15" customHeight="1">
      <c r="A6" s="227" t="s">
        <v>253</v>
      </c>
      <c r="B6" s="231">
        <f>B61</f>
        <v>10.3375</v>
      </c>
      <c r="C6" s="229">
        <f>C61</f>
        <v>199.87083333333334</v>
      </c>
    </row>
    <row r="7" spans="1:3" s="175" customFormat="1" ht="15" customHeight="1">
      <c r="A7" s="227" t="s">
        <v>254</v>
      </c>
      <c r="B7" s="231">
        <f>B81</f>
        <v>11</v>
      </c>
      <c r="C7" s="229">
        <f>C81</f>
        <v>212.71428571428572</v>
      </c>
    </row>
    <row r="8" spans="1:3" s="175" customFormat="1" ht="15" customHeight="1">
      <c r="A8" s="227" t="s">
        <v>255</v>
      </c>
      <c r="B8" s="231">
        <f>B90</f>
        <v>11.25</v>
      </c>
      <c r="C8" s="229">
        <f>C90</f>
        <v>213.5</v>
      </c>
    </row>
    <row r="9" spans="1:3" s="175" customFormat="1" ht="15" customHeight="1">
      <c r="A9" s="227" t="s">
        <v>256</v>
      </c>
      <c r="B9" s="231">
        <f>B101</f>
        <v>11</v>
      </c>
      <c r="C9" s="229">
        <f>C101</f>
        <v>216.53333333333333</v>
      </c>
    </row>
    <row r="10" spans="1:3" s="175" customFormat="1" ht="15" customHeight="1">
      <c r="A10" s="227" t="s">
        <v>257</v>
      </c>
      <c r="B10" s="231">
        <f>B116</f>
        <v>10.444444444444445</v>
      </c>
      <c r="C10" s="229">
        <f>C116</f>
        <v>205.95833333333331</v>
      </c>
    </row>
    <row r="11" spans="1:3" s="175" customFormat="1" ht="15" customHeight="1">
      <c r="A11" s="228" t="s">
        <v>258</v>
      </c>
      <c r="B11" s="232">
        <f>B127</f>
        <v>11</v>
      </c>
      <c r="C11" s="230">
        <f>C127</f>
        <v>219.25</v>
      </c>
    </row>
    <row r="12" spans="1:3" s="176" customFormat="1" ht="28.5" customHeight="1">
      <c r="A12" s="205" t="s">
        <v>259</v>
      </c>
      <c r="B12" s="206">
        <f>SUM(B3:B11)/9</f>
        <v>10.782191672965482</v>
      </c>
      <c r="C12" s="225">
        <f>SUM(C3:C11)/9</f>
        <v>211.07712585034014</v>
      </c>
    </row>
    <row r="16" spans="1:8" ht="41.25" customHeight="1">
      <c r="A16" s="285" t="s">
        <v>272</v>
      </c>
      <c r="B16" s="285"/>
      <c r="C16" s="285"/>
      <c r="D16" s="180"/>
      <c r="E16" s="180"/>
      <c r="F16" s="180"/>
      <c r="G16" s="180"/>
      <c r="H16" s="180"/>
    </row>
    <row r="19" spans="1:3" s="11" customFormat="1" ht="96" customHeight="1">
      <c r="A19" s="24" t="s">
        <v>15</v>
      </c>
      <c r="B19" s="248" t="s">
        <v>31</v>
      </c>
      <c r="C19" s="250"/>
    </row>
    <row r="20" spans="1:3" s="11" customFormat="1" ht="39" customHeight="1">
      <c r="A20" s="167" t="s">
        <v>269</v>
      </c>
      <c r="B20" s="168" t="s">
        <v>458</v>
      </c>
      <c r="C20" s="168" t="s">
        <v>464</v>
      </c>
    </row>
    <row r="21" spans="1:3" ht="18" customHeight="1">
      <c r="A21" s="199" t="s">
        <v>363</v>
      </c>
      <c r="B21" s="200">
        <v>11</v>
      </c>
      <c r="C21" s="200">
        <v>202</v>
      </c>
    </row>
    <row r="22" spans="1:3" ht="18" customHeight="1">
      <c r="A22" s="51" t="s">
        <v>240</v>
      </c>
      <c r="B22" s="52">
        <v>10</v>
      </c>
      <c r="C22" s="52">
        <v>196</v>
      </c>
    </row>
    <row r="23" spans="1:3" ht="18" customHeight="1">
      <c r="A23" s="51" t="s">
        <v>250</v>
      </c>
      <c r="B23" s="52">
        <v>10</v>
      </c>
      <c r="C23" s="52">
        <v>196</v>
      </c>
    </row>
    <row r="24" spans="1:3" ht="18" customHeight="1">
      <c r="A24" s="51" t="s">
        <v>194</v>
      </c>
      <c r="B24" s="52">
        <v>11</v>
      </c>
      <c r="C24" s="52">
        <v>220</v>
      </c>
    </row>
    <row r="25" spans="1:3" ht="18" customHeight="1">
      <c r="A25" s="197" t="s">
        <v>197</v>
      </c>
      <c r="B25" s="198">
        <v>10</v>
      </c>
      <c r="C25" s="198">
        <v>211</v>
      </c>
    </row>
    <row r="26" spans="1:3" ht="28.5" customHeight="1">
      <c r="A26" s="21" t="s">
        <v>270</v>
      </c>
      <c r="B26" s="173">
        <f>SUM(B21:B25)/5</f>
        <v>10.4</v>
      </c>
      <c r="C26" s="173">
        <f>SUM(C21:C25)/5</f>
        <v>205</v>
      </c>
    </row>
    <row r="28" spans="1:3" s="11" customFormat="1" ht="96" customHeight="1">
      <c r="A28" s="24" t="s">
        <v>15</v>
      </c>
      <c r="B28" s="248" t="s">
        <v>33</v>
      </c>
      <c r="C28" s="250"/>
    </row>
    <row r="29" spans="1:3" s="11" customFormat="1" ht="39" customHeight="1">
      <c r="A29" s="167" t="s">
        <v>269</v>
      </c>
      <c r="B29" s="168" t="s">
        <v>458</v>
      </c>
      <c r="C29" s="168" t="s">
        <v>464</v>
      </c>
    </row>
    <row r="30" spans="1:3" ht="18" customHeight="1">
      <c r="A30" s="197" t="s">
        <v>203</v>
      </c>
      <c r="B30" s="198">
        <v>11</v>
      </c>
      <c r="C30" s="198">
        <v>220</v>
      </c>
    </row>
    <row r="31" spans="1:3" ht="18" customHeight="1">
      <c r="A31" s="197" t="s">
        <v>205</v>
      </c>
      <c r="B31" s="198">
        <v>11</v>
      </c>
      <c r="C31" s="198">
        <v>218</v>
      </c>
    </row>
    <row r="32" spans="1:3" ht="18" customHeight="1">
      <c r="A32" s="197" t="s">
        <v>208</v>
      </c>
      <c r="B32" s="198">
        <v>11</v>
      </c>
      <c r="C32" s="198">
        <v>202</v>
      </c>
    </row>
    <row r="33" spans="1:3" ht="18" customHeight="1">
      <c r="A33" s="197" t="s">
        <v>209</v>
      </c>
      <c r="B33" s="198">
        <v>10</v>
      </c>
      <c r="C33" s="198">
        <v>202</v>
      </c>
    </row>
    <row r="34" spans="1:3" ht="18" customHeight="1">
      <c r="A34" s="197" t="s">
        <v>211</v>
      </c>
      <c r="B34" s="198">
        <v>11</v>
      </c>
      <c r="C34" s="198">
        <v>212</v>
      </c>
    </row>
    <row r="35" spans="1:3" ht="18" customHeight="1">
      <c r="A35" s="197" t="s">
        <v>251</v>
      </c>
      <c r="B35" s="198">
        <v>10.25</v>
      </c>
      <c r="C35" s="198">
        <f>820/4</f>
        <v>205</v>
      </c>
    </row>
    <row r="36" spans="1:3" ht="18" customHeight="1">
      <c r="A36" s="197" t="s">
        <v>213</v>
      </c>
      <c r="B36" s="198">
        <v>11</v>
      </c>
      <c r="C36" s="198">
        <v>206</v>
      </c>
    </row>
    <row r="37" spans="1:3" ht="18" customHeight="1">
      <c r="A37" s="197" t="s">
        <v>215</v>
      </c>
      <c r="B37" s="198">
        <v>11</v>
      </c>
      <c r="C37" s="198">
        <v>235</v>
      </c>
    </row>
    <row r="38" spans="1:3" ht="28.5" customHeight="1">
      <c r="A38" s="21" t="s">
        <v>271</v>
      </c>
      <c r="B38" s="173">
        <f>SUM(B30:B37)/8</f>
        <v>10.78125</v>
      </c>
      <c r="C38" s="173">
        <f>SUM(C30:C37)/8</f>
        <v>212.5</v>
      </c>
    </row>
    <row r="40" spans="1:3" s="11" customFormat="1" ht="96" customHeight="1">
      <c r="A40" s="24" t="s">
        <v>15</v>
      </c>
      <c r="B40" s="248" t="s">
        <v>34</v>
      </c>
      <c r="C40" s="250"/>
    </row>
    <row r="41" spans="1:3" s="11" customFormat="1" ht="39" customHeight="1">
      <c r="A41" s="167" t="s">
        <v>269</v>
      </c>
      <c r="B41" s="168" t="s">
        <v>458</v>
      </c>
      <c r="C41" s="168" t="s">
        <v>464</v>
      </c>
    </row>
    <row r="42" spans="1:3" ht="18" customHeight="1">
      <c r="A42" s="197" t="s">
        <v>219</v>
      </c>
      <c r="B42" s="198">
        <v>11</v>
      </c>
      <c r="C42" s="198">
        <v>213</v>
      </c>
    </row>
    <row r="43" spans="1:3" ht="18" customHeight="1">
      <c r="A43" s="197" t="s">
        <v>284</v>
      </c>
      <c r="B43" s="198">
        <v>10</v>
      </c>
      <c r="C43" s="198">
        <v>200</v>
      </c>
    </row>
    <row r="44" spans="1:3" ht="18" customHeight="1">
      <c r="A44" s="197" t="s">
        <v>286</v>
      </c>
      <c r="B44" s="198">
        <v>11</v>
      </c>
      <c r="C44" s="198">
        <v>220</v>
      </c>
    </row>
    <row r="45" spans="1:3" ht="18" customHeight="1">
      <c r="A45" s="197" t="s">
        <v>294</v>
      </c>
      <c r="B45" s="198">
        <f>151/14</f>
        <v>10.785714285714286</v>
      </c>
      <c r="C45" s="198">
        <f>2990/14</f>
        <v>213.57142857142858</v>
      </c>
    </row>
    <row r="46" spans="1:3" ht="18" customHeight="1">
      <c r="A46" s="197" t="s">
        <v>296</v>
      </c>
      <c r="B46" s="198">
        <v>11</v>
      </c>
      <c r="C46" s="198">
        <v>220</v>
      </c>
    </row>
    <row r="47" spans="1:3" ht="18" customHeight="1">
      <c r="A47" s="197" t="s">
        <v>297</v>
      </c>
      <c r="B47" s="198">
        <v>11</v>
      </c>
      <c r="C47" s="198">
        <v>215</v>
      </c>
    </row>
    <row r="48" spans="1:3" ht="18" customHeight="1">
      <c r="A48" s="197" t="s">
        <v>298</v>
      </c>
      <c r="B48" s="198">
        <v>11</v>
      </c>
      <c r="C48" s="198">
        <v>219</v>
      </c>
    </row>
    <row r="49" spans="1:3" ht="28.5" customHeight="1">
      <c r="A49" s="21" t="s">
        <v>223</v>
      </c>
      <c r="B49" s="173">
        <f>SUM(B42:B48)/7</f>
        <v>10.826530612244897</v>
      </c>
      <c r="C49" s="173">
        <f>SUM(C42:C48)/7</f>
        <v>214.36734693877548</v>
      </c>
    </row>
    <row r="51" spans="1:3" s="11" customFormat="1" ht="96" customHeight="1">
      <c r="A51" s="24" t="s">
        <v>15</v>
      </c>
      <c r="B51" s="248" t="s">
        <v>35</v>
      </c>
      <c r="C51" s="250"/>
    </row>
    <row r="52" spans="1:3" s="11" customFormat="1" ht="39" customHeight="1">
      <c r="A52" s="167" t="s">
        <v>269</v>
      </c>
      <c r="B52" s="168" t="s">
        <v>458</v>
      </c>
      <c r="C52" s="168" t="s">
        <v>464</v>
      </c>
    </row>
    <row r="53" spans="1:3" ht="18" customHeight="1">
      <c r="A53" s="197" t="s">
        <v>304</v>
      </c>
      <c r="B53" s="198">
        <v>10</v>
      </c>
      <c r="C53" s="198">
        <v>198</v>
      </c>
    </row>
    <row r="54" spans="1:3" ht="18" customHeight="1">
      <c r="A54" s="197" t="s">
        <v>315</v>
      </c>
      <c r="B54" s="198">
        <f>40/4</f>
        <v>10</v>
      </c>
      <c r="C54" s="198">
        <f>792/4</f>
        <v>198</v>
      </c>
    </row>
    <row r="55" spans="1:3" ht="18" customHeight="1">
      <c r="A55" s="197" t="s">
        <v>318</v>
      </c>
      <c r="B55" s="198">
        <f>21/2</f>
        <v>10.5</v>
      </c>
      <c r="C55" s="198">
        <f>417/2</f>
        <v>208.5</v>
      </c>
    </row>
    <row r="56" spans="1:3" ht="18" customHeight="1">
      <c r="A56" s="197" t="s">
        <v>321</v>
      </c>
      <c r="B56" s="198">
        <v>11</v>
      </c>
      <c r="C56" s="198">
        <v>214</v>
      </c>
    </row>
    <row r="57" spans="1:3" ht="18" customHeight="1">
      <c r="A57" s="197" t="s">
        <v>253</v>
      </c>
      <c r="B57" s="198">
        <f>153/15</f>
        <v>10.2</v>
      </c>
      <c r="C57" s="198">
        <f>2992/15</f>
        <v>199.46666666666667</v>
      </c>
    </row>
    <row r="58" spans="1:3" ht="18" customHeight="1">
      <c r="A58" s="197" t="s">
        <v>322</v>
      </c>
      <c r="B58" s="198">
        <v>11</v>
      </c>
      <c r="C58" s="198">
        <v>198</v>
      </c>
    </row>
    <row r="59" spans="1:3" ht="18" customHeight="1">
      <c r="A59" s="197" t="s">
        <v>324</v>
      </c>
      <c r="B59" s="198">
        <v>10</v>
      </c>
      <c r="C59" s="198">
        <v>188</v>
      </c>
    </row>
    <row r="60" spans="1:3" ht="18" customHeight="1">
      <c r="A60" s="197" t="s">
        <v>332</v>
      </c>
      <c r="B60" s="198">
        <v>10</v>
      </c>
      <c r="C60" s="198">
        <v>195</v>
      </c>
    </row>
    <row r="61" spans="1:3" ht="28.5" customHeight="1">
      <c r="A61" s="21" t="s">
        <v>224</v>
      </c>
      <c r="B61" s="173">
        <f>SUM(B53:B60)/8</f>
        <v>10.3375</v>
      </c>
      <c r="C61" s="173">
        <f>SUM(C53:C60)/8</f>
        <v>199.87083333333334</v>
      </c>
    </row>
    <row r="65" spans="1:3" s="11" customFormat="1" ht="96" customHeight="1">
      <c r="A65" s="24" t="s">
        <v>15</v>
      </c>
      <c r="B65" s="248" t="s">
        <v>36</v>
      </c>
      <c r="C65" s="250"/>
    </row>
    <row r="66" spans="1:3" s="11" customFormat="1" ht="39" customHeight="1">
      <c r="A66" s="167" t="s">
        <v>269</v>
      </c>
      <c r="B66" s="168" t="s">
        <v>458</v>
      </c>
      <c r="C66" s="168" t="s">
        <v>464</v>
      </c>
    </row>
    <row r="67" spans="1:3" ht="18" customHeight="1">
      <c r="A67" s="197" t="s">
        <v>130</v>
      </c>
      <c r="B67" s="198">
        <v>10</v>
      </c>
      <c r="C67" s="198">
        <v>182</v>
      </c>
    </row>
    <row r="68" spans="1:3" ht="18" customHeight="1">
      <c r="A68" s="197" t="s">
        <v>254</v>
      </c>
      <c r="B68" s="198">
        <f>33/3</f>
        <v>11</v>
      </c>
      <c r="C68" s="198">
        <f>672/3</f>
        <v>224</v>
      </c>
    </row>
    <row r="69" spans="1:3" ht="18" customHeight="1">
      <c r="A69" s="197" t="s">
        <v>124</v>
      </c>
      <c r="B69" s="198">
        <v>11</v>
      </c>
      <c r="C69" s="198">
        <v>218</v>
      </c>
    </row>
    <row r="70" spans="1:3" ht="18" customHeight="1">
      <c r="A70" s="197" t="s">
        <v>123</v>
      </c>
      <c r="B70" s="198">
        <f>22/2</f>
        <v>11</v>
      </c>
      <c r="C70" s="198">
        <f>422/2</f>
        <v>211</v>
      </c>
    </row>
    <row r="71" spans="1:3" ht="18" customHeight="1">
      <c r="A71" s="197" t="s">
        <v>135</v>
      </c>
      <c r="B71" s="198">
        <v>11</v>
      </c>
      <c r="C71" s="198">
        <v>203</v>
      </c>
    </row>
    <row r="72" spans="1:3" ht="18" customHeight="1">
      <c r="A72" s="197" t="s">
        <v>134</v>
      </c>
      <c r="B72" s="198">
        <v>12</v>
      </c>
      <c r="C72" s="198">
        <v>246</v>
      </c>
    </row>
    <row r="73" spans="1:3" ht="18" customHeight="1">
      <c r="A73" s="197" t="s">
        <v>117</v>
      </c>
      <c r="B73" s="198">
        <v>11</v>
      </c>
      <c r="C73" s="198">
        <v>211</v>
      </c>
    </row>
    <row r="74" spans="1:3" ht="18" customHeight="1">
      <c r="A74" s="197" t="s">
        <v>355</v>
      </c>
      <c r="B74" s="198">
        <v>11</v>
      </c>
      <c r="C74" s="198">
        <v>200</v>
      </c>
    </row>
    <row r="75" spans="1:3" ht="18" customHeight="1">
      <c r="A75" s="197" t="s">
        <v>133</v>
      </c>
      <c r="B75" s="198">
        <v>11</v>
      </c>
      <c r="C75" s="198">
        <v>220</v>
      </c>
    </row>
    <row r="76" spans="1:3" ht="18" customHeight="1">
      <c r="A76" s="197" t="s">
        <v>132</v>
      </c>
      <c r="B76" s="198">
        <f>22/2</f>
        <v>11</v>
      </c>
      <c r="C76" s="198">
        <f>440/2</f>
        <v>220</v>
      </c>
    </row>
    <row r="77" spans="1:3" ht="18" customHeight="1">
      <c r="A77" s="197" t="s">
        <v>131</v>
      </c>
      <c r="B77" s="198">
        <v>11</v>
      </c>
      <c r="C77" s="198">
        <v>200</v>
      </c>
    </row>
    <row r="78" spans="1:3" ht="18" customHeight="1">
      <c r="A78" s="197" t="s">
        <v>105</v>
      </c>
      <c r="B78" s="198">
        <f>33/3</f>
        <v>11</v>
      </c>
      <c r="C78" s="198">
        <f>645/3</f>
        <v>215</v>
      </c>
    </row>
    <row r="79" spans="1:3" ht="18" customHeight="1">
      <c r="A79" s="197" t="s">
        <v>104</v>
      </c>
      <c r="B79" s="198">
        <f>33/3</f>
        <v>11</v>
      </c>
      <c r="C79" s="198">
        <f>645/3</f>
        <v>215</v>
      </c>
    </row>
    <row r="80" spans="1:3" ht="18" customHeight="1">
      <c r="A80" s="197" t="s">
        <v>96</v>
      </c>
      <c r="B80" s="198">
        <v>11</v>
      </c>
      <c r="C80" s="198">
        <v>213</v>
      </c>
    </row>
    <row r="81" spans="1:3" ht="28.5" customHeight="1">
      <c r="A81" s="21" t="s">
        <v>225</v>
      </c>
      <c r="B81" s="173">
        <f>SUM(B67:B80)/14</f>
        <v>11</v>
      </c>
      <c r="C81" s="173">
        <f>SUM(C67:C80)/14</f>
        <v>212.71428571428572</v>
      </c>
    </row>
    <row r="84" spans="1:3" s="11" customFormat="1" ht="96" customHeight="1">
      <c r="A84" s="24" t="s">
        <v>15</v>
      </c>
      <c r="B84" s="248" t="s">
        <v>37</v>
      </c>
      <c r="C84" s="250"/>
    </row>
    <row r="85" spans="1:3" s="11" customFormat="1" ht="30.75" customHeight="1">
      <c r="A85" s="167" t="s">
        <v>269</v>
      </c>
      <c r="B85" s="168" t="s">
        <v>458</v>
      </c>
      <c r="C85" s="168" t="s">
        <v>464</v>
      </c>
    </row>
    <row r="86" spans="1:3" ht="18" customHeight="1">
      <c r="A86" s="201" t="s">
        <v>159</v>
      </c>
      <c r="B86" s="202">
        <v>11</v>
      </c>
      <c r="C86" s="202">
        <v>204</v>
      </c>
    </row>
    <row r="87" spans="1:3" ht="18" customHeight="1">
      <c r="A87" s="197" t="s">
        <v>227</v>
      </c>
      <c r="B87" s="198">
        <v>12</v>
      </c>
      <c r="C87" s="198">
        <v>220</v>
      </c>
    </row>
    <row r="88" spans="1:3" ht="18" customHeight="1">
      <c r="A88" s="197" t="s">
        <v>228</v>
      </c>
      <c r="B88" s="198">
        <v>11</v>
      </c>
      <c r="C88" s="198">
        <v>215</v>
      </c>
    </row>
    <row r="89" spans="1:3" ht="18" customHeight="1">
      <c r="A89" s="197" t="s">
        <v>229</v>
      </c>
      <c r="B89" s="198">
        <v>11</v>
      </c>
      <c r="C89" s="198">
        <v>215</v>
      </c>
    </row>
    <row r="90" spans="1:3" ht="28.5" customHeight="1">
      <c r="A90" s="21" t="s">
        <v>226</v>
      </c>
      <c r="B90" s="173">
        <f>SUM(B86:B89)/4</f>
        <v>11.25</v>
      </c>
      <c r="C90" s="173">
        <f>SUM(C86:C89)/4</f>
        <v>213.5</v>
      </c>
    </row>
    <row r="93" spans="1:3" s="11" customFormat="1" ht="96" customHeight="1">
      <c r="A93" s="24" t="s">
        <v>15</v>
      </c>
      <c r="B93" s="248" t="s">
        <v>40</v>
      </c>
      <c r="C93" s="250"/>
    </row>
    <row r="94" spans="1:3" s="11" customFormat="1" ht="30.75" customHeight="1">
      <c r="A94" s="167" t="s">
        <v>269</v>
      </c>
      <c r="B94" s="168" t="s">
        <v>458</v>
      </c>
      <c r="C94" s="168" t="s">
        <v>464</v>
      </c>
    </row>
    <row r="95" spans="1:3" ht="18" customHeight="1">
      <c r="A95" s="197" t="s">
        <v>140</v>
      </c>
      <c r="B95" s="198">
        <v>11</v>
      </c>
      <c r="C95" s="198">
        <v>220</v>
      </c>
    </row>
    <row r="96" spans="1:3" ht="18" customHeight="1">
      <c r="A96" s="197" t="s">
        <v>139</v>
      </c>
      <c r="B96" s="198">
        <v>11</v>
      </c>
      <c r="C96" s="198">
        <v>220</v>
      </c>
    </row>
    <row r="97" spans="1:3" ht="18" customHeight="1">
      <c r="A97" s="197" t="s">
        <v>233</v>
      </c>
      <c r="B97" s="198">
        <v>12</v>
      </c>
      <c r="C97" s="198">
        <v>224</v>
      </c>
    </row>
    <row r="98" spans="1:3" ht="18" customHeight="1">
      <c r="A98" s="197" t="s">
        <v>256</v>
      </c>
      <c r="B98" s="198">
        <v>10</v>
      </c>
      <c r="C98" s="198">
        <v>199.2</v>
      </c>
    </row>
    <row r="99" spans="1:3" ht="18" customHeight="1">
      <c r="A99" s="197" t="s">
        <v>138</v>
      </c>
      <c r="B99" s="198">
        <v>11</v>
      </c>
      <c r="C99" s="198">
        <v>216</v>
      </c>
    </row>
    <row r="100" spans="1:3" ht="18" customHeight="1">
      <c r="A100" s="197" t="s">
        <v>238</v>
      </c>
      <c r="B100" s="198">
        <v>11</v>
      </c>
      <c r="C100" s="198">
        <v>220</v>
      </c>
    </row>
    <row r="101" spans="1:3" ht="28.5" customHeight="1">
      <c r="A101" s="21" t="s">
        <v>182</v>
      </c>
      <c r="B101" s="173">
        <f>SUM(B95:B100)/6</f>
        <v>11</v>
      </c>
      <c r="C101" s="173">
        <f>SUM(C95:C100)/6</f>
        <v>216.53333333333333</v>
      </c>
    </row>
    <row r="102" ht="12.75">
      <c r="A102" s="50"/>
    </row>
    <row r="103" ht="12.75">
      <c r="A103" s="38" t="s">
        <v>141</v>
      </c>
    </row>
    <row r="105" spans="1:3" s="11" customFormat="1" ht="96" customHeight="1">
      <c r="A105" s="24" t="s">
        <v>15</v>
      </c>
      <c r="B105" s="248" t="s">
        <v>41</v>
      </c>
      <c r="C105" s="250"/>
    </row>
    <row r="106" spans="1:3" s="11" customFormat="1" ht="30.75" customHeight="1">
      <c r="A106" s="167" t="s">
        <v>269</v>
      </c>
      <c r="B106" s="168" t="s">
        <v>458</v>
      </c>
      <c r="C106" s="168" t="s">
        <v>464</v>
      </c>
    </row>
    <row r="107" spans="1:3" ht="18" customHeight="1">
      <c r="A107" s="197" t="s">
        <v>174</v>
      </c>
      <c r="B107" s="198">
        <v>10</v>
      </c>
      <c r="C107" s="198">
        <v>0</v>
      </c>
    </row>
    <row r="108" spans="1:3" ht="18" customHeight="1">
      <c r="A108" s="197" t="s">
        <v>152</v>
      </c>
      <c r="B108" s="198">
        <f>33/3</f>
        <v>11</v>
      </c>
      <c r="C108" s="198">
        <f>629/3</f>
        <v>209.66666666666666</v>
      </c>
    </row>
    <row r="109" spans="1:3" ht="18" customHeight="1">
      <c r="A109" s="197" t="s">
        <v>150</v>
      </c>
      <c r="B109" s="198">
        <v>10</v>
      </c>
      <c r="C109" s="198">
        <v>181</v>
      </c>
    </row>
    <row r="110" spans="1:3" ht="18" customHeight="1">
      <c r="A110" s="197" t="s">
        <v>149</v>
      </c>
      <c r="B110" s="198">
        <v>10</v>
      </c>
      <c r="C110" s="198">
        <v>182</v>
      </c>
    </row>
    <row r="111" spans="1:3" ht="18" customHeight="1">
      <c r="A111" s="197" t="s">
        <v>173</v>
      </c>
      <c r="B111" s="198">
        <v>11</v>
      </c>
      <c r="C111" s="198">
        <v>300</v>
      </c>
    </row>
    <row r="112" spans="1:3" ht="18" customHeight="1">
      <c r="A112" s="197" t="s">
        <v>178</v>
      </c>
      <c r="B112" s="198">
        <v>10</v>
      </c>
      <c r="C112" s="198">
        <v>185</v>
      </c>
    </row>
    <row r="113" spans="1:3" ht="18" customHeight="1">
      <c r="A113" s="197" t="s">
        <v>172</v>
      </c>
      <c r="B113" s="198">
        <v>12</v>
      </c>
      <c r="C113" s="198">
        <v>220</v>
      </c>
    </row>
    <row r="114" spans="1:3" ht="18" customHeight="1">
      <c r="A114" s="197" t="s">
        <v>171</v>
      </c>
      <c r="B114" s="198">
        <v>10</v>
      </c>
      <c r="C114" s="198">
        <v>186</v>
      </c>
    </row>
    <row r="115" spans="1:3" ht="18" customHeight="1">
      <c r="A115" s="197" t="s">
        <v>170</v>
      </c>
      <c r="B115" s="198">
        <v>10</v>
      </c>
      <c r="C115" s="198">
        <v>184</v>
      </c>
    </row>
    <row r="116" spans="1:3" ht="28.5" customHeight="1">
      <c r="A116" s="21" t="s">
        <v>183</v>
      </c>
      <c r="B116" s="173">
        <f>SUM(B107:B115)/9</f>
        <v>10.444444444444445</v>
      </c>
      <c r="C116" s="173">
        <f>SUM(C107:C115)/8</f>
        <v>205.95833333333331</v>
      </c>
    </row>
    <row r="117" spans="2:3" ht="12.75">
      <c r="B117" s="156"/>
      <c r="C117" s="156"/>
    </row>
    <row r="118" spans="1:3" ht="12.75">
      <c r="A118" s="157" t="s">
        <v>13</v>
      </c>
      <c r="C118" s="156"/>
    </row>
    <row r="121" spans="1:3" s="11" customFormat="1" ht="96" customHeight="1">
      <c r="A121" s="24" t="s">
        <v>15</v>
      </c>
      <c r="B121" s="248" t="s">
        <v>42</v>
      </c>
      <c r="C121" s="250"/>
    </row>
    <row r="122" spans="1:3" s="11" customFormat="1" ht="30.75" customHeight="1">
      <c r="A122" s="167" t="s">
        <v>269</v>
      </c>
      <c r="B122" s="168" t="s">
        <v>458</v>
      </c>
      <c r="C122" s="168" t="s">
        <v>464</v>
      </c>
    </row>
    <row r="123" spans="1:3" ht="18" customHeight="1">
      <c r="A123" s="197" t="s">
        <v>344</v>
      </c>
      <c r="B123" s="198">
        <v>11</v>
      </c>
      <c r="C123" s="198">
        <v>220</v>
      </c>
    </row>
    <row r="124" spans="1:3" ht="18" customHeight="1">
      <c r="A124" s="197" t="s">
        <v>347</v>
      </c>
      <c r="B124" s="198">
        <v>11</v>
      </c>
      <c r="C124" s="198">
        <v>244</v>
      </c>
    </row>
    <row r="125" spans="1:3" ht="18" customHeight="1">
      <c r="A125" s="197" t="s">
        <v>352</v>
      </c>
      <c r="B125" s="198">
        <v>10</v>
      </c>
      <c r="C125" s="198">
        <v>184</v>
      </c>
    </row>
    <row r="126" spans="1:3" ht="18" customHeight="1">
      <c r="A126" s="197" t="s">
        <v>349</v>
      </c>
      <c r="B126" s="198">
        <v>12</v>
      </c>
      <c r="C126" s="198">
        <v>229</v>
      </c>
    </row>
    <row r="127" spans="1:3" ht="28.5" customHeight="1">
      <c r="A127" s="21" t="s">
        <v>184</v>
      </c>
      <c r="B127" s="173">
        <f>SUM(B123:B126)/4</f>
        <v>11</v>
      </c>
      <c r="C127" s="173">
        <f>SUM(C123:C126)/4</f>
        <v>219.25</v>
      </c>
    </row>
  </sheetData>
  <mergeCells count="11">
    <mergeCell ref="B93:C93"/>
    <mergeCell ref="B105:C105"/>
    <mergeCell ref="B121:C121"/>
    <mergeCell ref="B40:C40"/>
    <mergeCell ref="B51:C51"/>
    <mergeCell ref="B65:C65"/>
    <mergeCell ref="B84:C84"/>
    <mergeCell ref="B19:C19"/>
    <mergeCell ref="B28:C28"/>
    <mergeCell ref="B1:C1"/>
    <mergeCell ref="A16:C16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18" max="255" man="1"/>
    <brk id="3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5"/>
  <sheetViews>
    <sheetView zoomScale="75" zoomScaleNormal="75" workbookViewId="0" topLeftCell="A1">
      <selection activeCell="D1" sqref="D1"/>
    </sheetView>
  </sheetViews>
  <sheetFormatPr defaultColWidth="9.140625" defaultRowHeight="12.75"/>
  <cols>
    <col min="1" max="1" width="23.28125" style="0" customWidth="1"/>
    <col min="2" max="2" width="18.8515625" style="0" bestFit="1" customWidth="1"/>
    <col min="3" max="3" width="19.7109375" style="0" bestFit="1" customWidth="1"/>
    <col min="7" max="7" width="9.28125" style="0" bestFit="1" customWidth="1"/>
  </cols>
  <sheetData>
    <row r="1" spans="1:12" s="2" customFormat="1" ht="90" customHeight="1">
      <c r="A1" s="1" t="s">
        <v>32</v>
      </c>
      <c r="B1" s="238" t="s">
        <v>94</v>
      </c>
      <c r="C1" s="252"/>
      <c r="D1" s="20"/>
      <c r="E1" s="20"/>
      <c r="F1" s="159"/>
      <c r="G1" s="159"/>
      <c r="H1" s="20"/>
      <c r="I1" s="20"/>
      <c r="J1" s="20"/>
      <c r="K1" s="20"/>
      <c r="L1" s="20"/>
    </row>
    <row r="2" spans="1:8" s="160" customFormat="1" ht="39.75" customHeight="1">
      <c r="A2" s="203" t="s">
        <v>185</v>
      </c>
      <c r="B2" s="204" t="s">
        <v>458</v>
      </c>
      <c r="C2" s="224" t="s">
        <v>464</v>
      </c>
      <c r="H2" s="20"/>
    </row>
    <row r="3" spans="1:3" s="196" customFormat="1" ht="15" customHeight="1">
      <c r="A3" s="226" t="s">
        <v>250</v>
      </c>
      <c r="B3" s="231">
        <f>B27</f>
        <v>10.703703703703704</v>
      </c>
      <c r="C3" s="229">
        <f>C27</f>
        <v>209.0925925925926</v>
      </c>
    </row>
    <row r="4" spans="1:3" s="175" customFormat="1" ht="15" customHeight="1">
      <c r="A4" s="227" t="s">
        <v>251</v>
      </c>
      <c r="B4" s="231">
        <f>B34</f>
        <v>10.904761904761905</v>
      </c>
      <c r="C4" s="229">
        <f>C34</f>
        <v>206.95238095238096</v>
      </c>
    </row>
    <row r="5" spans="1:3" s="175" customFormat="1" ht="15" customHeight="1">
      <c r="A5" s="227" t="s">
        <v>252</v>
      </c>
      <c r="B5" s="231">
        <f>B58</f>
        <v>10.263157894736842</v>
      </c>
      <c r="C5" s="229">
        <f>C58</f>
        <v>200.8684210526316</v>
      </c>
    </row>
    <row r="6" spans="1:3" s="175" customFormat="1" ht="15" customHeight="1">
      <c r="A6" s="227" t="s">
        <v>253</v>
      </c>
      <c r="B6" s="231">
        <f>B74</f>
        <v>10.733333333333334</v>
      </c>
      <c r="C6" s="229">
        <f>C74</f>
        <v>207.05925925925925</v>
      </c>
    </row>
    <row r="7" spans="1:3" s="175" customFormat="1" ht="15" customHeight="1">
      <c r="A7" s="227" t="s">
        <v>254</v>
      </c>
      <c r="B7" s="231">
        <f>B92</f>
        <v>10.866666666666667</v>
      </c>
      <c r="C7" s="229">
        <f>C92</f>
        <v>217.09305555555557</v>
      </c>
    </row>
    <row r="8" spans="1:3" s="175" customFormat="1" ht="15" customHeight="1">
      <c r="A8" s="227" t="s">
        <v>255</v>
      </c>
      <c r="B8" s="231">
        <f>B103</f>
        <v>11.5</v>
      </c>
      <c r="C8" s="229">
        <f>C103</f>
        <v>243.08333333333334</v>
      </c>
    </row>
    <row r="9" spans="1:3" s="175" customFormat="1" ht="15" customHeight="1">
      <c r="A9" s="227" t="s">
        <v>256</v>
      </c>
      <c r="B9" s="231">
        <f>B113</f>
        <v>10.933333333333334</v>
      </c>
      <c r="C9" s="229">
        <f>C113</f>
        <v>210.3044444444444</v>
      </c>
    </row>
    <row r="10" spans="1:3" s="175" customFormat="1" ht="15" customHeight="1">
      <c r="A10" s="227" t="s">
        <v>257</v>
      </c>
      <c r="B10" s="231">
        <f>B134</f>
        <v>10.28125</v>
      </c>
      <c r="C10" s="229">
        <f>C134</f>
        <v>198.70625</v>
      </c>
    </row>
    <row r="11" spans="1:3" s="175" customFormat="1" ht="15" customHeight="1">
      <c r="A11" s="228" t="s">
        <v>258</v>
      </c>
      <c r="B11" s="232">
        <f>B140</f>
        <v>11.666666666666666</v>
      </c>
      <c r="C11" s="230">
        <f>C140</f>
        <v>234.33333333333334</v>
      </c>
    </row>
    <row r="12" spans="1:3" s="176" customFormat="1" ht="28.5" customHeight="1">
      <c r="A12" s="205" t="s">
        <v>259</v>
      </c>
      <c r="B12" s="206">
        <f>SUM(B3:B11)/9</f>
        <v>10.87254150035583</v>
      </c>
      <c r="C12" s="225">
        <f>SUM(C3:C11)/9</f>
        <v>214.16589672483676</v>
      </c>
    </row>
    <row r="13" spans="1:3" s="160" customFormat="1" ht="39.75" customHeight="1">
      <c r="A13" s="215"/>
      <c r="B13" s="216"/>
      <c r="C13" s="216"/>
    </row>
    <row r="14" spans="1:3" s="160" customFormat="1" ht="39.75" customHeight="1">
      <c r="A14" s="215"/>
      <c r="B14" s="216"/>
      <c r="C14" s="216"/>
    </row>
    <row r="17" spans="1:8" ht="41.25" customHeight="1">
      <c r="A17" s="285" t="s">
        <v>272</v>
      </c>
      <c r="B17" s="285"/>
      <c r="C17" s="285"/>
      <c r="D17" s="180"/>
      <c r="E17" s="180"/>
      <c r="F17" s="180"/>
      <c r="G17" s="180"/>
      <c r="H17" s="180"/>
    </row>
    <row r="19" spans="1:3" s="11" customFormat="1" ht="73.5" customHeight="1">
      <c r="A19" s="24" t="s">
        <v>32</v>
      </c>
      <c r="B19" s="282" t="s">
        <v>385</v>
      </c>
      <c r="C19" s="282"/>
    </row>
    <row r="20" spans="1:3" s="11" customFormat="1" ht="39" customHeight="1">
      <c r="A20" s="167" t="s">
        <v>269</v>
      </c>
      <c r="B20" s="168" t="s">
        <v>458</v>
      </c>
      <c r="C20" s="168" t="s">
        <v>464</v>
      </c>
    </row>
    <row r="21" spans="1:3" ht="18" customHeight="1">
      <c r="A21" s="51" t="s">
        <v>192</v>
      </c>
      <c r="B21" s="52">
        <v>10</v>
      </c>
      <c r="C21" s="52">
        <v>200</v>
      </c>
    </row>
    <row r="22" spans="1:3" ht="18" customHeight="1">
      <c r="A22" s="51" t="s">
        <v>193</v>
      </c>
      <c r="B22" s="52">
        <v>11</v>
      </c>
      <c r="C22" s="52">
        <v>206</v>
      </c>
    </row>
    <row r="23" spans="1:3" ht="18" customHeight="1">
      <c r="A23" s="51" t="s">
        <v>250</v>
      </c>
      <c r="B23" s="52">
        <v>11.222222222222221</v>
      </c>
      <c r="C23" s="52">
        <v>227.55555555555554</v>
      </c>
    </row>
    <row r="24" spans="1:3" ht="18" customHeight="1">
      <c r="A24" s="51" t="s">
        <v>195</v>
      </c>
      <c r="B24" s="52">
        <v>11</v>
      </c>
      <c r="C24" s="52">
        <v>220</v>
      </c>
    </row>
    <row r="25" spans="1:3" ht="18" customHeight="1">
      <c r="A25" s="51" t="s">
        <v>196</v>
      </c>
      <c r="B25" s="52">
        <v>10</v>
      </c>
      <c r="C25" s="52">
        <v>185</v>
      </c>
    </row>
    <row r="26" spans="1:3" ht="18" customHeight="1">
      <c r="A26" s="51" t="s">
        <v>239</v>
      </c>
      <c r="B26" s="52">
        <v>11</v>
      </c>
      <c r="C26" s="52">
        <v>216</v>
      </c>
    </row>
    <row r="27" spans="1:3" ht="28.5" customHeight="1">
      <c r="A27" s="21" t="s">
        <v>270</v>
      </c>
      <c r="B27" s="173">
        <f>SUM(B21:B26)/6</f>
        <v>10.703703703703704</v>
      </c>
      <c r="C27" s="173">
        <f>SUM(C21:C26)/6</f>
        <v>209.0925925925926</v>
      </c>
    </row>
    <row r="28" ht="12.75">
      <c r="A28" s="163"/>
    </row>
    <row r="29" spans="1:3" s="11" customFormat="1" ht="86.25" customHeight="1">
      <c r="A29" s="24" t="s">
        <v>32</v>
      </c>
      <c r="B29" s="282" t="s">
        <v>386</v>
      </c>
      <c r="C29" s="282"/>
    </row>
    <row r="30" spans="1:3" s="11" customFormat="1" ht="39" customHeight="1">
      <c r="A30" s="167" t="s">
        <v>269</v>
      </c>
      <c r="B30" s="168" t="s">
        <v>458</v>
      </c>
      <c r="C30" s="168" t="s">
        <v>464</v>
      </c>
    </row>
    <row r="31" spans="1:3" ht="18" customHeight="1">
      <c r="A31" s="51" t="s">
        <v>199</v>
      </c>
      <c r="B31" s="52">
        <v>12</v>
      </c>
      <c r="C31" s="52">
        <v>236</v>
      </c>
    </row>
    <row r="32" spans="1:3" ht="18" customHeight="1">
      <c r="A32" s="51" t="s">
        <v>371</v>
      </c>
      <c r="B32" s="52">
        <v>10</v>
      </c>
      <c r="C32" s="52">
        <v>170</v>
      </c>
    </row>
    <row r="33" spans="1:3" ht="18" customHeight="1">
      <c r="A33" s="51" t="s">
        <v>251</v>
      </c>
      <c r="B33" s="52">
        <v>10.714285714285714</v>
      </c>
      <c r="C33" s="52">
        <v>214.85714285714286</v>
      </c>
    </row>
    <row r="34" spans="1:3" ht="28.5" customHeight="1">
      <c r="A34" s="21" t="s">
        <v>271</v>
      </c>
      <c r="B34" s="173">
        <f>SUM(B31:B33)/3</f>
        <v>10.904761904761905</v>
      </c>
      <c r="C34" s="173">
        <f>SUM(C31:C33)/3</f>
        <v>206.95238095238096</v>
      </c>
    </row>
    <row r="35" ht="12.75">
      <c r="A35" s="163"/>
    </row>
    <row r="36" ht="12.75">
      <c r="A36" s="163"/>
    </row>
    <row r="37" spans="1:3" s="11" customFormat="1" ht="86.25" customHeight="1">
      <c r="A37" s="24" t="s">
        <v>32</v>
      </c>
      <c r="B37" s="282" t="s">
        <v>387</v>
      </c>
      <c r="C37" s="282"/>
    </row>
    <row r="38" spans="1:3" s="11" customFormat="1" ht="39" customHeight="1">
      <c r="A38" s="167" t="s">
        <v>269</v>
      </c>
      <c r="B38" s="168" t="s">
        <v>458</v>
      </c>
      <c r="C38" s="168" t="s">
        <v>464</v>
      </c>
    </row>
    <row r="39" spans="1:3" ht="18" customHeight="1">
      <c r="A39" s="51" t="s">
        <v>218</v>
      </c>
      <c r="B39" s="52">
        <f>32/3</f>
        <v>10.666666666666666</v>
      </c>
      <c r="C39" s="52">
        <f>626/3</f>
        <v>208.66666666666666</v>
      </c>
    </row>
    <row r="40" spans="1:3" ht="18" customHeight="1">
      <c r="A40" s="51" t="s">
        <v>219</v>
      </c>
      <c r="B40" s="52">
        <v>10</v>
      </c>
      <c r="C40" s="52">
        <v>210</v>
      </c>
    </row>
    <row r="41" spans="1:3" ht="18" customHeight="1">
      <c r="A41" s="51" t="s">
        <v>222</v>
      </c>
      <c r="B41" s="52">
        <v>9</v>
      </c>
      <c r="C41" s="52">
        <v>160</v>
      </c>
    </row>
    <row r="42" spans="1:3" ht="18" customHeight="1">
      <c r="A42" s="51" t="s">
        <v>277</v>
      </c>
      <c r="B42" s="52">
        <v>10</v>
      </c>
      <c r="C42" s="52">
        <v>200</v>
      </c>
    </row>
    <row r="43" spans="1:3" ht="18" customHeight="1">
      <c r="A43" s="51" t="s">
        <v>278</v>
      </c>
      <c r="B43" s="52">
        <v>10</v>
      </c>
      <c r="C43" s="52">
        <v>160</v>
      </c>
    </row>
    <row r="44" spans="1:3" ht="18" customHeight="1">
      <c r="A44" s="51" t="s">
        <v>279</v>
      </c>
      <c r="B44" s="52">
        <v>10</v>
      </c>
      <c r="C44" s="52">
        <v>200</v>
      </c>
    </row>
    <row r="45" spans="1:3" ht="18" customHeight="1">
      <c r="A45" s="51" t="s">
        <v>281</v>
      </c>
      <c r="B45" s="52">
        <v>10</v>
      </c>
      <c r="C45" s="52">
        <v>192</v>
      </c>
    </row>
    <row r="46" spans="1:3" ht="18" customHeight="1">
      <c r="A46" s="51" t="s">
        <v>282</v>
      </c>
      <c r="B46" s="52">
        <v>10</v>
      </c>
      <c r="C46" s="52">
        <v>205</v>
      </c>
    </row>
    <row r="47" spans="1:3" ht="18" customHeight="1">
      <c r="A47" s="51" t="s">
        <v>284</v>
      </c>
      <c r="B47" s="52">
        <v>10</v>
      </c>
      <c r="C47" s="52">
        <v>200</v>
      </c>
    </row>
    <row r="48" spans="1:3" ht="18" customHeight="1">
      <c r="A48" s="51" t="s">
        <v>286</v>
      </c>
      <c r="B48" s="52">
        <v>10</v>
      </c>
      <c r="C48" s="52">
        <v>200</v>
      </c>
    </row>
    <row r="49" spans="1:3" ht="18" customHeight="1">
      <c r="A49" s="51" t="s">
        <v>291</v>
      </c>
      <c r="B49" s="52">
        <v>11</v>
      </c>
      <c r="C49" s="52">
        <v>220</v>
      </c>
    </row>
    <row r="50" spans="1:3" ht="18" customHeight="1">
      <c r="A50" s="51" t="s">
        <v>293</v>
      </c>
      <c r="B50" s="52">
        <f>33/3</f>
        <v>11</v>
      </c>
      <c r="C50" s="52">
        <f>624/3</f>
        <v>208</v>
      </c>
    </row>
    <row r="51" spans="1:3" ht="18" customHeight="1">
      <c r="A51" s="51" t="s">
        <v>294</v>
      </c>
      <c r="B51" s="52">
        <f>62/6</f>
        <v>10.333333333333334</v>
      </c>
      <c r="C51" s="52">
        <f>1232/6</f>
        <v>205.33333333333334</v>
      </c>
    </row>
    <row r="52" spans="1:3" ht="18" customHeight="1">
      <c r="A52" s="51" t="s">
        <v>295</v>
      </c>
      <c r="B52" s="52">
        <f>20/2</f>
        <v>10</v>
      </c>
      <c r="C52" s="52">
        <f>398/2</f>
        <v>199</v>
      </c>
    </row>
    <row r="53" spans="1:3" ht="18" customHeight="1">
      <c r="A53" s="51" t="s">
        <v>297</v>
      </c>
      <c r="B53" s="52">
        <v>11</v>
      </c>
      <c r="C53" s="52">
        <v>210</v>
      </c>
    </row>
    <row r="54" spans="1:3" ht="18" customHeight="1">
      <c r="A54" s="51" t="s">
        <v>246</v>
      </c>
      <c r="B54" s="52">
        <v>11</v>
      </c>
      <c r="C54" s="52">
        <v>256</v>
      </c>
    </row>
    <row r="55" spans="1:3" ht="18" customHeight="1">
      <c r="A55" s="51" t="s">
        <v>301</v>
      </c>
      <c r="B55" s="52">
        <v>10</v>
      </c>
      <c r="C55" s="52">
        <v>199</v>
      </c>
    </row>
    <row r="56" spans="1:3" ht="18" customHeight="1">
      <c r="A56" s="51" t="s">
        <v>302</v>
      </c>
      <c r="B56" s="52">
        <v>10</v>
      </c>
      <c r="C56" s="52">
        <v>170</v>
      </c>
    </row>
    <row r="57" spans="1:3" ht="18" customHeight="1">
      <c r="A57" s="51" t="s">
        <v>303</v>
      </c>
      <c r="B57" s="52">
        <f>22/2</f>
        <v>11</v>
      </c>
      <c r="C57" s="52">
        <f>427/2</f>
        <v>213.5</v>
      </c>
    </row>
    <row r="58" spans="1:3" ht="28.5" customHeight="1">
      <c r="A58" s="21" t="s">
        <v>223</v>
      </c>
      <c r="B58" s="173">
        <f>SUM(B39:B57)/19</f>
        <v>10.263157894736842</v>
      </c>
      <c r="C58" s="173">
        <f>SUM(C39:C57)/19</f>
        <v>200.8684210526316</v>
      </c>
    </row>
    <row r="59" ht="12.75">
      <c r="A59" s="163"/>
    </row>
    <row r="60" ht="12.75">
      <c r="A60" s="153" t="s">
        <v>474</v>
      </c>
    </row>
    <row r="61" ht="12.75">
      <c r="A61" s="163"/>
    </row>
    <row r="62" spans="1:3" s="11" customFormat="1" ht="86.25" customHeight="1">
      <c r="A62" s="24" t="s">
        <v>32</v>
      </c>
      <c r="B62" s="282" t="s">
        <v>388</v>
      </c>
      <c r="C62" s="282"/>
    </row>
    <row r="63" spans="1:3" s="11" customFormat="1" ht="39" customHeight="1">
      <c r="A63" s="167" t="s">
        <v>269</v>
      </c>
      <c r="B63" s="168" t="s">
        <v>458</v>
      </c>
      <c r="C63" s="168" t="s">
        <v>464</v>
      </c>
    </row>
    <row r="64" spans="1:6" ht="18" customHeight="1">
      <c r="A64" s="51" t="s">
        <v>307</v>
      </c>
      <c r="B64" s="52">
        <f>55/5</f>
        <v>11</v>
      </c>
      <c r="C64" s="52">
        <f>1106/5</f>
        <v>221.2</v>
      </c>
      <c r="F64" s="11"/>
    </row>
    <row r="65" spans="1:6" ht="18" customHeight="1">
      <c r="A65" s="51" t="s">
        <v>314</v>
      </c>
      <c r="B65" s="52">
        <v>8</v>
      </c>
      <c r="C65" s="52">
        <v>154</v>
      </c>
      <c r="F65" s="11"/>
    </row>
    <row r="66" spans="1:6" ht="18" customHeight="1">
      <c r="A66" s="51" t="s">
        <v>315</v>
      </c>
      <c r="B66" s="52">
        <v>11</v>
      </c>
      <c r="C66" s="52">
        <v>230</v>
      </c>
      <c r="F66" s="11"/>
    </row>
    <row r="67" spans="1:6" ht="18" customHeight="1">
      <c r="A67" s="51" t="s">
        <v>317</v>
      </c>
      <c r="B67" s="52">
        <v>11</v>
      </c>
      <c r="C67" s="52">
        <v>217</v>
      </c>
      <c r="F67" s="11"/>
    </row>
    <row r="68" spans="1:6" ht="18" customHeight="1">
      <c r="A68" s="51" t="s">
        <v>319</v>
      </c>
      <c r="B68" s="52">
        <v>11</v>
      </c>
      <c r="C68" s="52">
        <v>215</v>
      </c>
      <c r="F68" s="11"/>
    </row>
    <row r="69" spans="1:6" ht="18" customHeight="1">
      <c r="A69" s="51" t="s">
        <v>253</v>
      </c>
      <c r="B69" s="52">
        <f>31/3</f>
        <v>10.333333333333334</v>
      </c>
      <c r="C69" s="52">
        <f>595/3</f>
        <v>198.33333333333334</v>
      </c>
      <c r="F69" s="11"/>
    </row>
    <row r="70" spans="1:6" ht="18" customHeight="1">
      <c r="A70" s="51" t="s">
        <v>328</v>
      </c>
      <c r="B70" s="52">
        <v>11</v>
      </c>
      <c r="C70" s="52">
        <v>200</v>
      </c>
      <c r="F70" s="11"/>
    </row>
    <row r="71" spans="1:6" ht="18" customHeight="1">
      <c r="A71" s="51" t="s">
        <v>330</v>
      </c>
      <c r="B71" s="52">
        <f>44/4</f>
        <v>11</v>
      </c>
      <c r="C71" s="52">
        <f>892/4</f>
        <v>223</v>
      </c>
      <c r="F71" s="11"/>
    </row>
    <row r="72" spans="1:6" ht="18" customHeight="1">
      <c r="A72" s="51" t="s">
        <v>334</v>
      </c>
      <c r="B72" s="52">
        <v>11</v>
      </c>
      <c r="C72" s="52">
        <v>205</v>
      </c>
      <c r="F72" s="11"/>
    </row>
    <row r="73" spans="1:6" ht="18" customHeight="1">
      <c r="A73" s="51" t="s">
        <v>248</v>
      </c>
      <c r="B73" s="52">
        <v>12</v>
      </c>
      <c r="C73" s="52">
        <v>0</v>
      </c>
      <c r="F73" s="11"/>
    </row>
    <row r="74" spans="1:6" ht="28.5" customHeight="1">
      <c r="A74" s="21" t="s">
        <v>224</v>
      </c>
      <c r="B74" s="173">
        <f>SUM(B64:B73)/10</f>
        <v>10.733333333333334</v>
      </c>
      <c r="C74" s="173">
        <f>SUM(C64:C73)/9</f>
        <v>207.05925925925925</v>
      </c>
      <c r="F74" s="11"/>
    </row>
    <row r="75" spans="1:3" ht="12.75">
      <c r="A75" s="163"/>
      <c r="B75" s="217"/>
      <c r="C75" s="217"/>
    </row>
    <row r="76" ht="12.75">
      <c r="A76" s="153" t="s">
        <v>47</v>
      </c>
    </row>
    <row r="77" spans="1:3" ht="12.75">
      <c r="A77" s="163"/>
      <c r="C77" s="217"/>
    </row>
    <row r="78" spans="1:3" s="11" customFormat="1" ht="86.25" customHeight="1">
      <c r="A78" s="24" t="s">
        <v>32</v>
      </c>
      <c r="B78" s="282" t="s">
        <v>389</v>
      </c>
      <c r="C78" s="282"/>
    </row>
    <row r="79" spans="1:3" s="11" customFormat="1" ht="39" customHeight="1">
      <c r="A79" s="167" t="s">
        <v>269</v>
      </c>
      <c r="B79" s="168" t="s">
        <v>458</v>
      </c>
      <c r="C79" s="168" t="s">
        <v>464</v>
      </c>
    </row>
    <row r="80" spans="1:3" ht="18" customHeight="1">
      <c r="A80" s="51" t="s">
        <v>129</v>
      </c>
      <c r="B80" s="52">
        <v>11</v>
      </c>
      <c r="C80" s="52">
        <v>226</v>
      </c>
    </row>
    <row r="81" spans="1:3" ht="18" customHeight="1">
      <c r="A81" s="51" t="s">
        <v>254</v>
      </c>
      <c r="B81" s="52">
        <f>161/15</f>
        <v>10.733333333333333</v>
      </c>
      <c r="C81" s="52">
        <f>3033/15</f>
        <v>202.2</v>
      </c>
    </row>
    <row r="82" spans="1:3" ht="18" customHeight="1">
      <c r="A82" s="51" t="s">
        <v>120</v>
      </c>
      <c r="B82" s="52">
        <v>11</v>
      </c>
      <c r="C82" s="52">
        <v>212</v>
      </c>
    </row>
    <row r="83" spans="1:3" ht="18" customHeight="1">
      <c r="A83" s="51" t="s">
        <v>136</v>
      </c>
      <c r="B83" s="52">
        <v>11</v>
      </c>
      <c r="C83" s="52">
        <v>200</v>
      </c>
    </row>
    <row r="84" spans="1:3" ht="18" customHeight="1">
      <c r="A84" s="51" t="s">
        <v>335</v>
      </c>
      <c r="B84" s="52">
        <v>12</v>
      </c>
      <c r="C84" s="52">
        <v>226</v>
      </c>
    </row>
    <row r="85" spans="1:3" ht="18" customHeight="1">
      <c r="A85" s="51" t="s">
        <v>114</v>
      </c>
      <c r="B85" s="52">
        <v>11</v>
      </c>
      <c r="C85" s="52">
        <v>220</v>
      </c>
    </row>
    <row r="86" spans="1:3" ht="18" customHeight="1">
      <c r="A86" s="51" t="s">
        <v>336</v>
      </c>
      <c r="B86" s="52">
        <f>46/4</f>
        <v>11.5</v>
      </c>
      <c r="C86" s="52">
        <f>905/4</f>
        <v>226.25</v>
      </c>
    </row>
    <row r="87" spans="1:3" ht="18" customHeight="1">
      <c r="A87" s="51" t="s">
        <v>111</v>
      </c>
      <c r="B87" s="52">
        <v>11</v>
      </c>
      <c r="C87" s="52">
        <v>230</v>
      </c>
    </row>
    <row r="88" spans="1:3" ht="18" customHeight="1">
      <c r="A88" s="51" t="s">
        <v>109</v>
      </c>
      <c r="B88" s="52">
        <f>19/2</f>
        <v>9.5</v>
      </c>
      <c r="C88" s="52">
        <f>434/2</f>
        <v>217</v>
      </c>
    </row>
    <row r="89" spans="1:3" ht="18" customHeight="1">
      <c r="A89" s="51" t="s">
        <v>99</v>
      </c>
      <c r="B89" s="52">
        <f>33/3</f>
        <v>11</v>
      </c>
      <c r="C89" s="52">
        <f>692/3</f>
        <v>230.66666666666666</v>
      </c>
    </row>
    <row r="90" spans="1:3" ht="18" customHeight="1">
      <c r="A90" s="51" t="s">
        <v>98</v>
      </c>
      <c r="B90" s="52">
        <f>35/3</f>
        <v>11.666666666666666</v>
      </c>
      <c r="C90" s="52">
        <f>669/3</f>
        <v>223</v>
      </c>
    </row>
    <row r="91" spans="1:3" ht="18" customHeight="1">
      <c r="A91" s="51" t="s">
        <v>96</v>
      </c>
      <c r="B91" s="52">
        <v>9</v>
      </c>
      <c r="C91" s="52">
        <v>192</v>
      </c>
    </row>
    <row r="92" spans="1:3" ht="28.5" customHeight="1">
      <c r="A92" s="21" t="s">
        <v>225</v>
      </c>
      <c r="B92" s="173">
        <f>SUM(B80:B91)/12</f>
        <v>10.866666666666667</v>
      </c>
      <c r="C92" s="173">
        <f>SUM(C80:C91)/12</f>
        <v>217.09305555555557</v>
      </c>
    </row>
    <row r="93" ht="12.75">
      <c r="A93" s="162"/>
    </row>
    <row r="94" s="14" customFormat="1" ht="12.75">
      <c r="A94" s="102" t="s">
        <v>430</v>
      </c>
    </row>
    <row r="95" ht="12.75">
      <c r="A95" s="163"/>
    </row>
    <row r="96" ht="12.75">
      <c r="A96" s="163"/>
    </row>
    <row r="97" spans="1:3" s="11" customFormat="1" ht="86.25" customHeight="1">
      <c r="A97" s="24" t="s">
        <v>32</v>
      </c>
      <c r="B97" s="282" t="s">
        <v>390</v>
      </c>
      <c r="C97" s="282"/>
    </row>
    <row r="98" spans="1:3" s="11" customFormat="1" ht="39" customHeight="1">
      <c r="A98" s="167" t="s">
        <v>269</v>
      </c>
      <c r="B98" s="168" t="s">
        <v>458</v>
      </c>
      <c r="C98" s="168" t="s">
        <v>464</v>
      </c>
    </row>
    <row r="99" spans="1:3" ht="18" customHeight="1">
      <c r="A99" s="51" t="s">
        <v>255</v>
      </c>
      <c r="B99" s="52">
        <v>11</v>
      </c>
      <c r="C99" s="52">
        <v>224.33333333333334</v>
      </c>
    </row>
    <row r="100" spans="1:3" ht="18" customHeight="1">
      <c r="A100" s="51" t="s">
        <v>168</v>
      </c>
      <c r="B100" s="52">
        <v>12</v>
      </c>
      <c r="C100" s="52">
        <v>280</v>
      </c>
    </row>
    <row r="101" spans="1:3" ht="18" customHeight="1">
      <c r="A101" s="51" t="s">
        <v>154</v>
      </c>
      <c r="B101" s="52">
        <v>12</v>
      </c>
      <c r="C101" s="52">
        <v>238</v>
      </c>
    </row>
    <row r="102" spans="1:3" ht="18" customHeight="1">
      <c r="A102" s="51" t="s">
        <v>230</v>
      </c>
      <c r="B102" s="52">
        <v>11</v>
      </c>
      <c r="C102" s="52">
        <v>230</v>
      </c>
    </row>
    <row r="103" spans="1:3" ht="28.5" customHeight="1">
      <c r="A103" s="21" t="s">
        <v>226</v>
      </c>
      <c r="B103" s="173">
        <f>SUM(B99:B102)/4</f>
        <v>11.5</v>
      </c>
      <c r="C103" s="173">
        <f>SUM(C99:C102)/4</f>
        <v>243.08333333333334</v>
      </c>
    </row>
    <row r="104" ht="12.75">
      <c r="A104" s="163"/>
    </row>
    <row r="105" ht="12.75">
      <c r="A105" s="163"/>
    </row>
    <row r="106" spans="1:3" s="11" customFormat="1" ht="86.25" customHeight="1">
      <c r="A106" s="24" t="s">
        <v>32</v>
      </c>
      <c r="B106" s="282" t="s">
        <v>391</v>
      </c>
      <c r="C106" s="282"/>
    </row>
    <row r="107" spans="1:3" s="11" customFormat="1" ht="39" customHeight="1">
      <c r="A107" s="167" t="s">
        <v>269</v>
      </c>
      <c r="B107" s="168" t="s">
        <v>458</v>
      </c>
      <c r="C107" s="168" t="s">
        <v>464</v>
      </c>
    </row>
    <row r="108" spans="1:3" ht="18" customHeight="1">
      <c r="A108" s="51" t="s">
        <v>143</v>
      </c>
      <c r="B108" s="52">
        <v>11</v>
      </c>
      <c r="C108" s="52">
        <v>205</v>
      </c>
    </row>
    <row r="109" spans="1:3" ht="18" customHeight="1">
      <c r="A109" s="51" t="s">
        <v>142</v>
      </c>
      <c r="B109" s="52">
        <v>10.5</v>
      </c>
      <c r="C109" s="52">
        <f>411/2</f>
        <v>205.5</v>
      </c>
    </row>
    <row r="110" spans="1:3" ht="18" customHeight="1">
      <c r="A110" s="51" t="s">
        <v>139</v>
      </c>
      <c r="B110" s="52">
        <v>11</v>
      </c>
      <c r="C110" s="52">
        <f>1054/5</f>
        <v>210.8</v>
      </c>
    </row>
    <row r="111" spans="1:3" ht="18" customHeight="1">
      <c r="A111" s="51" t="s">
        <v>256</v>
      </c>
      <c r="B111" s="52">
        <v>11.166666666666666</v>
      </c>
      <c r="C111" s="52">
        <f>3955/18</f>
        <v>219.72222222222223</v>
      </c>
    </row>
    <row r="112" spans="1:3" ht="18" customHeight="1">
      <c r="A112" s="51" t="s">
        <v>340</v>
      </c>
      <c r="B112" s="52">
        <v>11</v>
      </c>
      <c r="C112" s="52">
        <f>421/2</f>
        <v>210.5</v>
      </c>
    </row>
    <row r="113" spans="1:3" ht="28.5" customHeight="1">
      <c r="A113" s="21" t="s">
        <v>182</v>
      </c>
      <c r="B113" s="173">
        <f>SUM(B108:B112)/5</f>
        <v>10.933333333333334</v>
      </c>
      <c r="C113" s="173">
        <f>SUM(C108:C112)/5</f>
        <v>210.3044444444444</v>
      </c>
    </row>
    <row r="114" ht="12.75">
      <c r="A114" s="163"/>
    </row>
    <row r="115" ht="12.75">
      <c r="A115" s="163"/>
    </row>
    <row r="116" spans="1:3" s="11" customFormat="1" ht="86.25" customHeight="1">
      <c r="A116" s="24" t="s">
        <v>32</v>
      </c>
      <c r="B116" s="282" t="s">
        <v>392</v>
      </c>
      <c r="C116" s="282"/>
    </row>
    <row r="117" spans="1:3" s="11" customFormat="1" ht="39" customHeight="1">
      <c r="A117" s="167" t="s">
        <v>269</v>
      </c>
      <c r="B117" s="168" t="s">
        <v>458</v>
      </c>
      <c r="C117" s="168" t="s">
        <v>464</v>
      </c>
    </row>
    <row r="118" spans="1:3" ht="18" customHeight="1">
      <c r="A118" s="51" t="s">
        <v>341</v>
      </c>
      <c r="B118" s="52">
        <v>10</v>
      </c>
      <c r="C118" s="52">
        <v>190</v>
      </c>
    </row>
    <row r="119" spans="1:3" ht="18" customHeight="1">
      <c r="A119" s="51" t="s">
        <v>174</v>
      </c>
      <c r="B119" s="52">
        <f>22/2</f>
        <v>11</v>
      </c>
      <c r="C119" s="52">
        <f>424/2</f>
        <v>212</v>
      </c>
    </row>
    <row r="120" spans="1:3" ht="18" customHeight="1">
      <c r="A120" s="51" t="s">
        <v>418</v>
      </c>
      <c r="B120" s="52">
        <v>11</v>
      </c>
      <c r="C120" s="52">
        <v>230</v>
      </c>
    </row>
    <row r="121" spans="1:3" ht="18" customHeight="1">
      <c r="A121" s="51" t="s">
        <v>153</v>
      </c>
      <c r="B121" s="52">
        <f>21/2</f>
        <v>10.5</v>
      </c>
      <c r="C121" s="52">
        <f>383/2</f>
        <v>191.5</v>
      </c>
    </row>
    <row r="122" spans="1:3" ht="18" customHeight="1">
      <c r="A122" s="51" t="s">
        <v>152</v>
      </c>
      <c r="B122" s="52">
        <f>54/5</f>
        <v>10.8</v>
      </c>
      <c r="C122" s="52">
        <f>1074/5</f>
        <v>214.8</v>
      </c>
    </row>
    <row r="123" spans="1:3" ht="18" customHeight="1">
      <c r="A123" s="51" t="s">
        <v>151</v>
      </c>
      <c r="B123" s="52">
        <f>44/4</f>
        <v>11</v>
      </c>
      <c r="C123" s="52">
        <f>874/4</f>
        <v>218.5</v>
      </c>
    </row>
    <row r="124" spans="1:3" ht="18" customHeight="1">
      <c r="A124" s="51" t="s">
        <v>179</v>
      </c>
      <c r="B124" s="52">
        <f>20/2</f>
        <v>10</v>
      </c>
      <c r="C124" s="52">
        <f>376/2</f>
        <v>188</v>
      </c>
    </row>
    <row r="125" spans="1:3" ht="18" customHeight="1">
      <c r="A125" s="51" t="s">
        <v>150</v>
      </c>
      <c r="B125" s="52">
        <f>102/10</f>
        <v>10.2</v>
      </c>
      <c r="C125" s="52">
        <f>1895/10</f>
        <v>189.5</v>
      </c>
    </row>
    <row r="126" spans="1:3" ht="18" customHeight="1">
      <c r="A126" s="51" t="s">
        <v>149</v>
      </c>
      <c r="B126" s="52">
        <v>10</v>
      </c>
      <c r="C126" s="52">
        <v>186</v>
      </c>
    </row>
    <row r="127" spans="1:3" ht="18" customHeight="1">
      <c r="A127" s="51" t="s">
        <v>181</v>
      </c>
      <c r="B127" s="52">
        <v>10</v>
      </c>
      <c r="C127" s="52">
        <v>194</v>
      </c>
    </row>
    <row r="128" spans="1:3" ht="18" customHeight="1">
      <c r="A128" s="51" t="s">
        <v>147</v>
      </c>
      <c r="B128" s="52">
        <v>10</v>
      </c>
      <c r="C128" s="52">
        <v>223</v>
      </c>
    </row>
    <row r="129" spans="1:3" ht="18" customHeight="1">
      <c r="A129" s="51" t="s">
        <v>146</v>
      </c>
      <c r="B129" s="52">
        <v>10</v>
      </c>
      <c r="C129" s="52">
        <v>188</v>
      </c>
    </row>
    <row r="130" spans="1:3" ht="18" customHeight="1">
      <c r="A130" s="51" t="s">
        <v>172</v>
      </c>
      <c r="B130" s="52">
        <v>10</v>
      </c>
      <c r="C130" s="52">
        <v>185</v>
      </c>
    </row>
    <row r="131" spans="1:3" ht="18" customHeight="1">
      <c r="A131" s="51" t="s">
        <v>177</v>
      </c>
      <c r="B131" s="52">
        <v>10</v>
      </c>
      <c r="C131" s="52">
        <v>192</v>
      </c>
    </row>
    <row r="132" spans="1:3" ht="18" customHeight="1">
      <c r="A132" s="51" t="s">
        <v>176</v>
      </c>
      <c r="B132" s="52">
        <v>10</v>
      </c>
      <c r="C132" s="52">
        <v>186</v>
      </c>
    </row>
    <row r="133" spans="1:3" ht="18" customHeight="1">
      <c r="A133" s="51" t="s">
        <v>175</v>
      </c>
      <c r="B133" s="52">
        <v>10</v>
      </c>
      <c r="C133" s="52">
        <v>191</v>
      </c>
    </row>
    <row r="134" spans="1:3" ht="28.5" customHeight="1">
      <c r="A134" s="21" t="s">
        <v>183</v>
      </c>
      <c r="B134" s="173">
        <f>SUM(B118:B133)/16</f>
        <v>10.28125</v>
      </c>
      <c r="C134" s="173">
        <f>SUM(C118:C133)/16</f>
        <v>198.70625</v>
      </c>
    </row>
    <row r="135" ht="12.75">
      <c r="A135" s="163"/>
    </row>
    <row r="136" ht="12.75">
      <c r="A136" s="163"/>
    </row>
    <row r="137" spans="1:3" s="11" customFormat="1" ht="86.25" customHeight="1">
      <c r="A137" s="24" t="s">
        <v>32</v>
      </c>
      <c r="B137" s="282" t="s">
        <v>393</v>
      </c>
      <c r="C137" s="282"/>
    </row>
    <row r="138" spans="1:3" s="11" customFormat="1" ht="39" customHeight="1">
      <c r="A138" s="167" t="s">
        <v>269</v>
      </c>
      <c r="B138" s="168" t="s">
        <v>458</v>
      </c>
      <c r="C138" s="168" t="s">
        <v>464</v>
      </c>
    </row>
    <row r="139" spans="1:3" ht="18" customHeight="1">
      <c r="A139" s="51" t="s">
        <v>258</v>
      </c>
      <c r="B139" s="52">
        <v>11.666666666666666</v>
      </c>
      <c r="C139" s="52">
        <v>234.33333333333334</v>
      </c>
    </row>
    <row r="140" spans="1:3" ht="28.5" customHeight="1">
      <c r="A140" s="21" t="s">
        <v>184</v>
      </c>
      <c r="B140" s="173">
        <f>SUM(B139)</f>
        <v>11.666666666666666</v>
      </c>
      <c r="C140" s="173">
        <f>SUM(C139)</f>
        <v>234.33333333333334</v>
      </c>
    </row>
    <row r="141" spans="1:6" ht="12.75">
      <c r="A141" s="163"/>
      <c r="B141" s="163"/>
      <c r="C141" s="163"/>
      <c r="D141" s="163"/>
      <c r="E141" s="163"/>
      <c r="F141" s="163"/>
    </row>
    <row r="142" spans="1:6" ht="12.75">
      <c r="A142" s="163"/>
      <c r="B142" s="163"/>
      <c r="C142" s="163"/>
      <c r="D142" s="163"/>
      <c r="E142" s="163"/>
      <c r="F142" s="163"/>
    </row>
    <row r="143" spans="1:6" ht="12.75">
      <c r="A143" s="163"/>
      <c r="B143" s="163"/>
      <c r="C143" s="163"/>
      <c r="D143" s="163"/>
      <c r="E143" s="163"/>
      <c r="F143" s="163"/>
    </row>
    <row r="144" spans="1:6" ht="12.75">
      <c r="A144" s="163"/>
      <c r="B144" s="163"/>
      <c r="C144" s="163"/>
      <c r="D144" s="163"/>
      <c r="E144" s="163"/>
      <c r="F144" s="163"/>
    </row>
    <row r="145" spans="1:6" ht="12.75">
      <c r="A145" s="163"/>
      <c r="B145" s="163"/>
      <c r="C145" s="163"/>
      <c r="D145" s="163"/>
      <c r="E145" s="163"/>
      <c r="F145" s="163"/>
    </row>
    <row r="146" spans="1:6" ht="12.75">
      <c r="A146" s="163"/>
      <c r="B146" s="163"/>
      <c r="C146" s="163"/>
      <c r="D146" s="163"/>
      <c r="E146" s="163"/>
      <c r="F146" s="163"/>
    </row>
    <row r="147" spans="1:6" ht="12.75">
      <c r="A147" s="163"/>
      <c r="B147" s="163"/>
      <c r="C147" s="163"/>
      <c r="D147" s="163"/>
      <c r="E147" s="163"/>
      <c r="F147" s="163"/>
    </row>
    <row r="148" spans="1:6" ht="12.75">
      <c r="A148" s="163"/>
      <c r="B148" s="163"/>
      <c r="C148" s="163"/>
      <c r="D148" s="163"/>
      <c r="E148" s="163"/>
      <c r="F148" s="163"/>
    </row>
    <row r="149" spans="1:6" ht="12.75">
      <c r="A149" s="163"/>
      <c r="B149" s="163"/>
      <c r="C149" s="163"/>
      <c r="D149" s="163"/>
      <c r="E149" s="163"/>
      <c r="F149" s="163"/>
    </row>
    <row r="150" spans="1:6" ht="12.75">
      <c r="A150" s="163"/>
      <c r="B150" s="163"/>
      <c r="C150" s="163"/>
      <c r="D150" s="163"/>
      <c r="E150" s="163"/>
      <c r="F150" s="163"/>
    </row>
    <row r="151" spans="1:6" ht="12.75">
      <c r="A151" s="163"/>
      <c r="B151" s="163"/>
      <c r="C151" s="163"/>
      <c r="D151" s="163"/>
      <c r="E151" s="163"/>
      <c r="F151" s="163"/>
    </row>
    <row r="152" spans="1:6" ht="12.75">
      <c r="A152" s="163"/>
      <c r="B152" s="163"/>
      <c r="C152" s="163"/>
      <c r="D152" s="163"/>
      <c r="E152" s="163"/>
      <c r="F152" s="163"/>
    </row>
    <row r="153" spans="1:6" ht="12.75">
      <c r="A153" s="163"/>
      <c r="B153" s="163"/>
      <c r="C153" s="163"/>
      <c r="D153" s="163"/>
      <c r="E153" s="163"/>
      <c r="F153" s="163"/>
    </row>
    <row r="154" spans="1:6" ht="12.75">
      <c r="A154" s="163"/>
      <c r="B154" s="163"/>
      <c r="C154" s="163"/>
      <c r="D154" s="163"/>
      <c r="E154" s="163"/>
      <c r="F154" s="163"/>
    </row>
    <row r="155" spans="1:6" ht="12.75">
      <c r="A155" s="163"/>
      <c r="B155" s="163"/>
      <c r="C155" s="163"/>
      <c r="D155" s="163"/>
      <c r="E155" s="163"/>
      <c r="F155" s="163"/>
    </row>
    <row r="156" spans="1:6" ht="12.75">
      <c r="A156" s="163"/>
      <c r="B156" s="163"/>
      <c r="C156" s="163"/>
      <c r="D156" s="163"/>
      <c r="E156" s="163"/>
      <c r="F156" s="163"/>
    </row>
    <row r="157" spans="1:6" ht="12.75">
      <c r="A157" s="163"/>
      <c r="B157" s="163"/>
      <c r="C157" s="163"/>
      <c r="D157" s="163"/>
      <c r="E157" s="163"/>
      <c r="F157" s="163"/>
    </row>
    <row r="158" spans="1:6" ht="12.75">
      <c r="A158" s="163"/>
      <c r="B158" s="163"/>
      <c r="C158" s="163"/>
      <c r="D158" s="163"/>
      <c r="E158" s="163"/>
      <c r="F158" s="163"/>
    </row>
    <row r="159" spans="1:6" ht="12.75">
      <c r="A159" s="163"/>
      <c r="B159" s="163"/>
      <c r="C159" s="163"/>
      <c r="D159" s="163"/>
      <c r="E159" s="163"/>
      <c r="F159" s="163"/>
    </row>
    <row r="160" spans="1:6" ht="12.75">
      <c r="A160" s="163"/>
      <c r="B160" s="163"/>
      <c r="C160" s="163"/>
      <c r="D160" s="163"/>
      <c r="E160" s="163"/>
      <c r="F160" s="163"/>
    </row>
    <row r="161" spans="1:6" ht="12.75">
      <c r="A161" s="163"/>
      <c r="B161" s="163"/>
      <c r="C161" s="163"/>
      <c r="D161" s="163"/>
      <c r="E161" s="163"/>
      <c r="F161" s="163"/>
    </row>
    <row r="162" spans="1:6" ht="12.75">
      <c r="A162" s="163"/>
      <c r="B162" s="163"/>
      <c r="C162" s="163"/>
      <c r="D162" s="163"/>
      <c r="E162" s="163"/>
      <c r="F162" s="163"/>
    </row>
    <row r="163" spans="1:6" ht="12.75">
      <c r="A163" s="163"/>
      <c r="B163" s="163"/>
      <c r="C163" s="163"/>
      <c r="D163" s="163"/>
      <c r="E163" s="163"/>
      <c r="F163" s="163"/>
    </row>
    <row r="164" spans="1:6" ht="12.75">
      <c r="A164" s="163"/>
      <c r="B164" s="163"/>
      <c r="C164" s="163"/>
      <c r="D164" s="163"/>
      <c r="E164" s="163"/>
      <c r="F164" s="163"/>
    </row>
    <row r="165" spans="1:6" ht="12.75">
      <c r="A165" s="163"/>
      <c r="B165" s="163"/>
      <c r="C165" s="163"/>
      <c r="D165" s="163"/>
      <c r="E165" s="163"/>
      <c r="F165" s="163"/>
    </row>
    <row r="166" spans="1:6" ht="12.75">
      <c r="A166" s="163"/>
      <c r="B166" s="163"/>
      <c r="C166" s="163"/>
      <c r="D166" s="163"/>
      <c r="E166" s="163"/>
      <c r="F166" s="163"/>
    </row>
    <row r="167" spans="1:6" ht="12.75">
      <c r="A167" s="163"/>
      <c r="B167" s="163"/>
      <c r="C167" s="163"/>
      <c r="D167" s="163"/>
      <c r="E167" s="163"/>
      <c r="F167" s="163"/>
    </row>
    <row r="168" spans="1:6" ht="12.75">
      <c r="A168" s="163"/>
      <c r="B168" s="163"/>
      <c r="C168" s="163"/>
      <c r="D168" s="163"/>
      <c r="E168" s="163"/>
      <c r="F168" s="163"/>
    </row>
    <row r="169" spans="1:6" ht="12.75">
      <c r="A169" s="163"/>
      <c r="B169" s="163"/>
      <c r="C169" s="163"/>
      <c r="D169" s="163"/>
      <c r="E169" s="163"/>
      <c r="F169" s="163"/>
    </row>
    <row r="170" spans="1:6" ht="12.75">
      <c r="A170" s="163"/>
      <c r="B170" s="163"/>
      <c r="C170" s="163"/>
      <c r="D170" s="163"/>
      <c r="E170" s="163"/>
      <c r="F170" s="163"/>
    </row>
    <row r="171" spans="1:6" ht="12.75">
      <c r="A171" s="163"/>
      <c r="B171" s="163"/>
      <c r="C171" s="163"/>
      <c r="D171" s="163"/>
      <c r="E171" s="163"/>
      <c r="F171" s="163"/>
    </row>
    <row r="172" spans="1:6" ht="12.75">
      <c r="A172" s="163"/>
      <c r="B172" s="163"/>
      <c r="C172" s="163"/>
      <c r="D172" s="163"/>
      <c r="E172" s="163"/>
      <c r="F172" s="163"/>
    </row>
    <row r="173" spans="1:6" ht="12.75">
      <c r="A173" s="163"/>
      <c r="B173" s="163"/>
      <c r="C173" s="163"/>
      <c r="D173" s="163"/>
      <c r="E173" s="163"/>
      <c r="F173" s="163"/>
    </row>
    <row r="174" spans="1:6" ht="12.75">
      <c r="A174" s="163"/>
      <c r="B174" s="163"/>
      <c r="C174" s="163"/>
      <c r="D174" s="163"/>
      <c r="E174" s="163"/>
      <c r="F174" s="163"/>
    </row>
    <row r="175" spans="1:6" ht="12.75">
      <c r="A175" s="163"/>
      <c r="B175" s="163"/>
      <c r="C175" s="163"/>
      <c r="D175" s="163"/>
      <c r="E175" s="163"/>
      <c r="F175" s="163"/>
    </row>
    <row r="176" spans="1:6" ht="12.75">
      <c r="A176" s="163"/>
      <c r="B176" s="163"/>
      <c r="C176" s="163"/>
      <c r="D176" s="163"/>
      <c r="E176" s="163"/>
      <c r="F176" s="163"/>
    </row>
    <row r="177" spans="1:6" ht="12.75">
      <c r="A177" s="163"/>
      <c r="B177" s="163"/>
      <c r="C177" s="163"/>
      <c r="D177" s="163"/>
      <c r="E177" s="163"/>
      <c r="F177" s="163"/>
    </row>
    <row r="178" spans="1:6" ht="12.75">
      <c r="A178" s="163"/>
      <c r="B178" s="163"/>
      <c r="C178" s="163"/>
      <c r="D178" s="163"/>
      <c r="E178" s="163"/>
      <c r="F178" s="163"/>
    </row>
    <row r="179" spans="1:6" ht="12.75">
      <c r="A179" s="163"/>
      <c r="B179" s="163"/>
      <c r="C179" s="163"/>
      <c r="D179" s="163"/>
      <c r="E179" s="163"/>
      <c r="F179" s="163"/>
    </row>
    <row r="180" spans="1:6" ht="12.75">
      <c r="A180" s="163"/>
      <c r="B180" s="163"/>
      <c r="C180" s="163"/>
      <c r="D180" s="163"/>
      <c r="E180" s="163"/>
      <c r="F180" s="163"/>
    </row>
    <row r="181" spans="1:6" ht="12.75">
      <c r="A181" s="163"/>
      <c r="B181" s="163"/>
      <c r="C181" s="163"/>
      <c r="D181" s="163"/>
      <c r="E181" s="163"/>
      <c r="F181" s="163"/>
    </row>
    <row r="182" spans="1:6" ht="12.75">
      <c r="A182" s="163"/>
      <c r="B182" s="163"/>
      <c r="C182" s="163"/>
      <c r="D182" s="163"/>
      <c r="E182" s="163"/>
      <c r="F182" s="163"/>
    </row>
    <row r="183" spans="1:6" ht="12.75">
      <c r="A183" s="163"/>
      <c r="B183" s="163"/>
      <c r="C183" s="163"/>
      <c r="D183" s="163"/>
      <c r="E183" s="163"/>
      <c r="F183" s="163"/>
    </row>
    <row r="184" spans="1:6" ht="12.75">
      <c r="A184" s="163"/>
      <c r="B184" s="163"/>
      <c r="C184" s="163"/>
      <c r="D184" s="163"/>
      <c r="E184" s="163"/>
      <c r="F184" s="163"/>
    </row>
    <row r="185" spans="1:6" ht="12.75">
      <c r="A185" s="163"/>
      <c r="B185" s="163"/>
      <c r="C185" s="163"/>
      <c r="D185" s="163"/>
      <c r="E185" s="163"/>
      <c r="F185" s="163"/>
    </row>
    <row r="186" spans="1:6" ht="12.75">
      <c r="A186" s="163"/>
      <c r="B186" s="163"/>
      <c r="C186" s="163"/>
      <c r="D186" s="163"/>
      <c r="E186" s="163"/>
      <c r="F186" s="163"/>
    </row>
    <row r="187" spans="1:6" ht="12.75">
      <c r="A187" s="163"/>
      <c r="B187" s="163"/>
      <c r="C187" s="163"/>
      <c r="D187" s="163"/>
      <c r="E187" s="163"/>
      <c r="F187" s="163"/>
    </row>
    <row r="188" spans="1:6" ht="12.75">
      <c r="A188" s="163"/>
      <c r="B188" s="163"/>
      <c r="C188" s="163"/>
      <c r="D188" s="163"/>
      <c r="E188" s="163"/>
      <c r="F188" s="163"/>
    </row>
    <row r="189" spans="1:6" ht="12.75">
      <c r="A189" s="163"/>
      <c r="B189" s="163"/>
      <c r="C189" s="163"/>
      <c r="D189" s="163"/>
      <c r="E189" s="163"/>
      <c r="F189" s="163"/>
    </row>
    <row r="190" spans="1:6" ht="12.75">
      <c r="A190" s="163"/>
      <c r="B190" s="163"/>
      <c r="C190" s="163"/>
      <c r="D190" s="163"/>
      <c r="E190" s="163"/>
      <c r="F190" s="163"/>
    </row>
    <row r="191" spans="1:6" ht="12.75">
      <c r="A191" s="163"/>
      <c r="B191" s="163"/>
      <c r="C191" s="163"/>
      <c r="D191" s="163"/>
      <c r="E191" s="163"/>
      <c r="F191" s="163"/>
    </row>
    <row r="192" spans="1:6" ht="12.75">
      <c r="A192" s="163"/>
      <c r="B192" s="163"/>
      <c r="C192" s="163"/>
      <c r="D192" s="163"/>
      <c r="E192" s="163"/>
      <c r="F192" s="163"/>
    </row>
    <row r="193" spans="1:6" ht="12.75">
      <c r="A193" s="163"/>
      <c r="B193" s="163"/>
      <c r="C193" s="163"/>
      <c r="D193" s="163"/>
      <c r="E193" s="163"/>
      <c r="F193" s="163"/>
    </row>
    <row r="194" spans="1:6" ht="12.75">
      <c r="A194" s="163"/>
      <c r="B194" s="163"/>
      <c r="C194" s="163"/>
      <c r="D194" s="163"/>
      <c r="E194" s="163"/>
      <c r="F194" s="163"/>
    </row>
    <row r="195" spans="1:6" ht="12.75">
      <c r="A195" s="163"/>
      <c r="B195" s="163"/>
      <c r="C195" s="163"/>
      <c r="D195" s="163"/>
      <c r="E195" s="163"/>
      <c r="F195" s="163"/>
    </row>
    <row r="196" spans="1:6" ht="12.75">
      <c r="A196" s="163"/>
      <c r="B196" s="163"/>
      <c r="C196" s="163"/>
      <c r="D196" s="163"/>
      <c r="E196" s="163"/>
      <c r="F196" s="163"/>
    </row>
    <row r="197" spans="1:6" ht="12.75">
      <c r="A197" s="163"/>
      <c r="B197" s="163"/>
      <c r="C197" s="163"/>
      <c r="D197" s="163"/>
      <c r="E197" s="163"/>
      <c r="F197" s="163"/>
    </row>
    <row r="198" spans="1:6" ht="12.75">
      <c r="A198" s="163"/>
      <c r="B198" s="163"/>
      <c r="C198" s="163"/>
      <c r="D198" s="163"/>
      <c r="E198" s="163"/>
      <c r="F198" s="163"/>
    </row>
    <row r="199" spans="1:6" ht="12.75">
      <c r="A199" s="163"/>
      <c r="B199" s="163"/>
      <c r="C199" s="163"/>
      <c r="D199" s="163"/>
      <c r="E199" s="163"/>
      <c r="F199" s="163"/>
    </row>
    <row r="200" spans="1:6" ht="12.75">
      <c r="A200" s="163"/>
      <c r="B200" s="163"/>
      <c r="C200" s="163"/>
      <c r="D200" s="163"/>
      <c r="E200" s="163"/>
      <c r="F200" s="163"/>
    </row>
    <row r="201" spans="1:6" ht="12.75">
      <c r="A201" s="163"/>
      <c r="B201" s="163"/>
      <c r="C201" s="163"/>
      <c r="D201" s="163"/>
      <c r="E201" s="163"/>
      <c r="F201" s="163"/>
    </row>
    <row r="202" spans="1:6" ht="12.75">
      <c r="A202" s="163"/>
      <c r="B202" s="163"/>
      <c r="C202" s="163"/>
      <c r="D202" s="163"/>
      <c r="E202" s="163"/>
      <c r="F202" s="163"/>
    </row>
    <row r="203" spans="1:6" ht="12.75">
      <c r="A203" s="163"/>
      <c r="B203" s="163"/>
      <c r="C203" s="163"/>
      <c r="D203" s="163"/>
      <c r="E203" s="163"/>
      <c r="F203" s="163"/>
    </row>
    <row r="204" spans="1:6" ht="12.75">
      <c r="A204" s="163"/>
      <c r="B204" s="163"/>
      <c r="C204" s="163"/>
      <c r="D204" s="163"/>
      <c r="E204" s="163"/>
      <c r="F204" s="163"/>
    </row>
    <row r="205" spans="1:6" ht="12.75">
      <c r="A205" s="163"/>
      <c r="B205" s="163"/>
      <c r="C205" s="163"/>
      <c r="D205" s="163"/>
      <c r="E205" s="163"/>
      <c r="F205" s="163"/>
    </row>
  </sheetData>
  <mergeCells count="11">
    <mergeCell ref="B106:C106"/>
    <mergeCell ref="B116:C116"/>
    <mergeCell ref="B137:C137"/>
    <mergeCell ref="B1:C1"/>
    <mergeCell ref="B62:C62"/>
    <mergeCell ref="B78:C78"/>
    <mergeCell ref="B97:C97"/>
    <mergeCell ref="A17:C17"/>
    <mergeCell ref="B19:C19"/>
    <mergeCell ref="B29:C29"/>
    <mergeCell ref="B37:C37"/>
  </mergeCells>
  <printOptions/>
  <pageMargins left="0.75" right="0.75" top="1" bottom="1" header="0.5" footer="0.5"/>
  <pageSetup horizontalDpi="600" verticalDpi="600" orientation="portrait" paperSize="9" r:id="rId1"/>
  <rowBreaks count="4" manualBreakCount="4">
    <brk id="18" max="255" man="1"/>
    <brk id="36" max="255" man="1"/>
    <brk id="61" max="255" man="1"/>
    <brk id="7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4"/>
  <sheetViews>
    <sheetView zoomScale="75" zoomScaleNormal="75" workbookViewId="0" topLeftCell="A1">
      <selection activeCell="E1" sqref="E1"/>
    </sheetView>
  </sheetViews>
  <sheetFormatPr defaultColWidth="9.140625" defaultRowHeight="12.75"/>
  <cols>
    <col min="1" max="1" width="26.7109375" style="163" customWidth="1"/>
    <col min="2" max="2" width="13.00390625" style="163" customWidth="1"/>
    <col min="3" max="3" width="22.28125" style="163" customWidth="1"/>
    <col min="4" max="16384" width="8.8515625" style="163" customWidth="1"/>
  </cols>
  <sheetData>
    <row r="1" spans="1:12" s="2" customFormat="1" ht="97.5" customHeight="1">
      <c r="A1" s="126" t="s">
        <v>46</v>
      </c>
      <c r="B1" s="237" t="s">
        <v>472</v>
      </c>
      <c r="C1" s="252"/>
      <c r="D1" s="20"/>
      <c r="E1" s="20"/>
      <c r="F1" s="159"/>
      <c r="G1" s="159"/>
      <c r="H1" s="20"/>
      <c r="I1" s="20"/>
      <c r="J1" s="20"/>
      <c r="K1" s="20"/>
      <c r="L1" s="20"/>
    </row>
    <row r="2" spans="1:8" s="160" customFormat="1" ht="39.75" customHeight="1">
      <c r="A2" s="223" t="s">
        <v>185</v>
      </c>
      <c r="B2" s="204" t="s">
        <v>458</v>
      </c>
      <c r="C2" s="204" t="s">
        <v>464</v>
      </c>
      <c r="H2" s="20"/>
    </row>
    <row r="3" spans="1:3" s="196" customFormat="1" ht="15" customHeight="1">
      <c r="A3" s="226" t="s">
        <v>250</v>
      </c>
      <c r="B3" s="231">
        <f>B27</f>
        <v>11</v>
      </c>
      <c r="C3" s="229">
        <f>C27</f>
        <v>218.66666666666666</v>
      </c>
    </row>
    <row r="4" spans="1:3" s="175" customFormat="1" ht="15" customHeight="1">
      <c r="A4" s="227" t="s">
        <v>251</v>
      </c>
      <c r="B4" s="231">
        <f>B37</f>
        <v>11.466666666666667</v>
      </c>
      <c r="C4" s="229">
        <f>C37</f>
        <v>222.8666666666667</v>
      </c>
    </row>
    <row r="5" spans="1:3" s="175" customFormat="1" ht="15" customHeight="1">
      <c r="A5" s="227" t="s">
        <v>252</v>
      </c>
      <c r="B5" s="231">
        <f>B45</f>
        <v>11.222222222222221</v>
      </c>
      <c r="C5" s="229">
        <f>C45</f>
        <v>231.2222222222222</v>
      </c>
    </row>
    <row r="6" spans="1:3" s="175" customFormat="1" ht="15" customHeight="1">
      <c r="A6" s="227" t="s">
        <v>253</v>
      </c>
      <c r="B6" s="231">
        <f>B59</f>
        <v>10.625</v>
      </c>
      <c r="C6" s="229">
        <f>C59</f>
        <v>209.78125</v>
      </c>
    </row>
    <row r="7" spans="1:3" s="175" customFormat="1" ht="15" customHeight="1">
      <c r="A7" s="227" t="s">
        <v>254</v>
      </c>
      <c r="B7" s="231">
        <f>B73</f>
        <v>10.944444444444445</v>
      </c>
      <c r="C7" s="229">
        <f>C73</f>
        <v>220.05555555555554</v>
      </c>
    </row>
    <row r="8" spans="1:3" s="175" customFormat="1" ht="15" customHeight="1">
      <c r="A8" s="227" t="s">
        <v>255</v>
      </c>
      <c r="B8" s="231">
        <f>B87</f>
        <v>10.746753246753245</v>
      </c>
      <c r="C8" s="229">
        <f>C87</f>
        <v>213.23809523809524</v>
      </c>
    </row>
    <row r="9" spans="1:3" s="175" customFormat="1" ht="15" customHeight="1">
      <c r="A9" s="227" t="s">
        <v>256</v>
      </c>
      <c r="B9" s="231">
        <f>B98</f>
        <v>11.25</v>
      </c>
      <c r="C9" s="229">
        <f>C98</f>
        <v>216.16666666666666</v>
      </c>
    </row>
    <row r="10" spans="1:3" s="175" customFormat="1" ht="15" customHeight="1">
      <c r="A10" s="227" t="s">
        <v>257</v>
      </c>
      <c r="B10" s="231">
        <f>B106</f>
        <v>11.333333333333334</v>
      </c>
      <c r="C10" s="229">
        <f>C106</f>
        <v>225</v>
      </c>
    </row>
    <row r="11" spans="1:3" s="175" customFormat="1" ht="15" customHeight="1">
      <c r="A11" s="228" t="s">
        <v>258</v>
      </c>
      <c r="B11" s="232">
        <f>B114</f>
        <v>12</v>
      </c>
      <c r="C11" s="230">
        <f>C114</f>
        <v>224</v>
      </c>
    </row>
    <row r="12" spans="1:3" s="176" customFormat="1" ht="28.5" customHeight="1">
      <c r="A12" s="205" t="s">
        <v>259</v>
      </c>
      <c r="B12" s="206">
        <f>SUM(B3:B11)/9</f>
        <v>11.176491101491102</v>
      </c>
      <c r="C12" s="225">
        <f>SUM(C3:C11)/9</f>
        <v>220.1107914462081</v>
      </c>
    </row>
    <row r="19" spans="1:8" ht="41.25" customHeight="1">
      <c r="A19" s="285" t="s">
        <v>272</v>
      </c>
      <c r="B19" s="285"/>
      <c r="C19" s="285"/>
      <c r="D19" s="180"/>
      <c r="E19" s="180"/>
      <c r="F19" s="180"/>
      <c r="G19" s="180"/>
      <c r="H19" s="180"/>
    </row>
    <row r="22" spans="1:3" s="11" customFormat="1" ht="81" customHeight="1">
      <c r="A22" s="24" t="s">
        <v>46</v>
      </c>
      <c r="B22" s="282" t="s">
        <v>384</v>
      </c>
      <c r="C22" s="282"/>
    </row>
    <row r="23" spans="1:3" s="11" customFormat="1" ht="39" customHeight="1">
      <c r="A23" s="167" t="s">
        <v>269</v>
      </c>
      <c r="B23" s="168" t="s">
        <v>458</v>
      </c>
      <c r="C23" s="168" t="s">
        <v>464</v>
      </c>
    </row>
    <row r="24" spans="1:3" ht="18" customHeight="1">
      <c r="A24" s="51" t="s">
        <v>365</v>
      </c>
      <c r="B24" s="52">
        <v>11</v>
      </c>
      <c r="C24" s="52">
        <v>240</v>
      </c>
    </row>
    <row r="25" spans="1:3" ht="18" customHeight="1">
      <c r="A25" s="51" t="s">
        <v>190</v>
      </c>
      <c r="B25" s="52">
        <v>11</v>
      </c>
      <c r="C25" s="52">
        <v>195</v>
      </c>
    </row>
    <row r="26" spans="1:3" ht="18" customHeight="1">
      <c r="A26" s="51" t="s">
        <v>250</v>
      </c>
      <c r="B26" s="52">
        <v>11</v>
      </c>
      <c r="C26" s="52">
        <v>221</v>
      </c>
    </row>
    <row r="27" spans="1:3" ht="28.5" customHeight="1">
      <c r="A27" s="21" t="s">
        <v>270</v>
      </c>
      <c r="B27" s="173">
        <f>SUM(B24:B26)/3</f>
        <v>11</v>
      </c>
      <c r="C27" s="173">
        <f>SUM(C24:C26)/3</f>
        <v>218.66666666666666</v>
      </c>
    </row>
    <row r="30" spans="1:3" s="11" customFormat="1" ht="81" customHeight="1">
      <c r="A30" s="24" t="s">
        <v>46</v>
      </c>
      <c r="B30" s="282" t="s">
        <v>383</v>
      </c>
      <c r="C30" s="282"/>
    </row>
    <row r="31" spans="1:3" s="11" customFormat="1" ht="39" customHeight="1">
      <c r="A31" s="167" t="s">
        <v>269</v>
      </c>
      <c r="B31" s="168" t="s">
        <v>458</v>
      </c>
      <c r="C31" s="168" t="s">
        <v>464</v>
      </c>
    </row>
    <row r="32" spans="1:3" ht="18" customHeight="1">
      <c r="A32" s="51" t="s">
        <v>203</v>
      </c>
      <c r="B32" s="52">
        <v>12</v>
      </c>
      <c r="C32" s="52">
        <v>235</v>
      </c>
    </row>
    <row r="33" spans="1:3" ht="18" customHeight="1">
      <c r="A33" s="51" t="s">
        <v>251</v>
      </c>
      <c r="B33" s="52">
        <v>10.333333333333334</v>
      </c>
      <c r="C33" s="52">
        <v>219.33333333333334</v>
      </c>
    </row>
    <row r="34" spans="1:3" ht="18" customHeight="1">
      <c r="A34" s="51" t="s">
        <v>212</v>
      </c>
      <c r="B34" s="52">
        <v>12</v>
      </c>
      <c r="C34" s="52">
        <v>228</v>
      </c>
    </row>
    <row r="35" spans="1:3" ht="18" customHeight="1">
      <c r="A35" s="51" t="s">
        <v>214</v>
      </c>
      <c r="B35" s="52">
        <v>12</v>
      </c>
      <c r="C35" s="52">
        <v>237</v>
      </c>
    </row>
    <row r="36" spans="1:3" ht="18" customHeight="1">
      <c r="A36" s="51" t="s">
        <v>243</v>
      </c>
      <c r="B36" s="52">
        <v>11</v>
      </c>
      <c r="C36" s="52">
        <v>195</v>
      </c>
    </row>
    <row r="37" spans="1:3" ht="28.5" customHeight="1">
      <c r="A37" s="21" t="s">
        <v>271</v>
      </c>
      <c r="B37" s="173">
        <f>SUM(B32:B36)/5</f>
        <v>11.466666666666667</v>
      </c>
      <c r="C37" s="173">
        <f>SUM(C32:C36)/5</f>
        <v>222.8666666666667</v>
      </c>
    </row>
    <row r="40" spans="1:3" s="11" customFormat="1" ht="81" customHeight="1">
      <c r="A40" s="24" t="s">
        <v>46</v>
      </c>
      <c r="B40" s="282" t="s">
        <v>382</v>
      </c>
      <c r="C40" s="282"/>
    </row>
    <row r="41" spans="1:3" s="11" customFormat="1" ht="39" customHeight="1">
      <c r="A41" s="167" t="s">
        <v>269</v>
      </c>
      <c r="B41" s="168" t="s">
        <v>458</v>
      </c>
      <c r="C41" s="168" t="s">
        <v>464</v>
      </c>
    </row>
    <row r="42" spans="1:3" ht="18" customHeight="1">
      <c r="A42" s="51" t="s">
        <v>247</v>
      </c>
      <c r="B42" s="52">
        <v>11</v>
      </c>
      <c r="C42" s="52">
        <v>225</v>
      </c>
    </row>
    <row r="43" spans="1:3" ht="18" customHeight="1">
      <c r="A43" s="51" t="s">
        <v>288</v>
      </c>
      <c r="B43" s="52">
        <v>10.666666666666666</v>
      </c>
      <c r="C43" s="52">
        <f>620/3</f>
        <v>206.66666666666666</v>
      </c>
    </row>
    <row r="44" spans="1:3" ht="18" customHeight="1">
      <c r="A44" s="51" t="s">
        <v>294</v>
      </c>
      <c r="B44" s="52">
        <v>12</v>
      </c>
      <c r="C44" s="52">
        <f>524/2</f>
        <v>262</v>
      </c>
    </row>
    <row r="45" spans="1:3" ht="28.5" customHeight="1">
      <c r="A45" s="21" t="s">
        <v>223</v>
      </c>
      <c r="B45" s="173">
        <f>SUM(B42:B44)/3</f>
        <v>11.222222222222221</v>
      </c>
      <c r="C45" s="173">
        <f>SUM(C42:C44)/3</f>
        <v>231.2222222222222</v>
      </c>
    </row>
    <row r="49" spans="1:3" s="11" customFormat="1" ht="81" customHeight="1">
      <c r="A49" s="24" t="s">
        <v>46</v>
      </c>
      <c r="B49" s="282" t="s">
        <v>381</v>
      </c>
      <c r="C49" s="282"/>
    </row>
    <row r="50" spans="1:3" s="11" customFormat="1" ht="39" customHeight="1">
      <c r="A50" s="167" t="s">
        <v>269</v>
      </c>
      <c r="B50" s="168" t="s">
        <v>458</v>
      </c>
      <c r="C50" s="168" t="s">
        <v>464</v>
      </c>
    </row>
    <row r="51" spans="1:3" ht="18" customHeight="1">
      <c r="A51" s="51" t="s">
        <v>304</v>
      </c>
      <c r="B51" s="52">
        <v>10</v>
      </c>
      <c r="C51" s="52">
        <v>214</v>
      </c>
    </row>
    <row r="52" spans="1:3" ht="18" customHeight="1">
      <c r="A52" s="51" t="s">
        <v>307</v>
      </c>
      <c r="B52" s="52">
        <v>11</v>
      </c>
      <c r="C52" s="52">
        <v>207</v>
      </c>
    </row>
    <row r="53" spans="1:3" ht="18" customHeight="1">
      <c r="A53" s="51" t="s">
        <v>308</v>
      </c>
      <c r="B53" s="52">
        <f>22/2</f>
        <v>11</v>
      </c>
      <c r="C53" s="52">
        <f>431/2</f>
        <v>215.5</v>
      </c>
    </row>
    <row r="54" spans="1:3" ht="18" customHeight="1">
      <c r="A54" s="51" t="s">
        <v>311</v>
      </c>
      <c r="B54" s="52">
        <v>10</v>
      </c>
      <c r="C54" s="52">
        <v>193</v>
      </c>
    </row>
    <row r="55" spans="1:3" ht="18" customHeight="1">
      <c r="A55" s="51" t="s">
        <v>313</v>
      </c>
      <c r="B55" s="52">
        <v>11</v>
      </c>
      <c r="C55" s="52">
        <v>200</v>
      </c>
    </row>
    <row r="56" spans="1:3" ht="18" customHeight="1">
      <c r="A56" s="51" t="s">
        <v>253</v>
      </c>
      <c r="B56" s="52">
        <f>42/4</f>
        <v>10.5</v>
      </c>
      <c r="C56" s="52">
        <f>851/4</f>
        <v>212.75</v>
      </c>
    </row>
    <row r="57" spans="1:3" ht="18" customHeight="1">
      <c r="A57" s="51" t="s">
        <v>330</v>
      </c>
      <c r="B57" s="52">
        <f>23/2</f>
        <v>11.5</v>
      </c>
      <c r="C57" s="52">
        <f>458/2</f>
        <v>229</v>
      </c>
    </row>
    <row r="58" spans="1:3" ht="18" customHeight="1">
      <c r="A58" s="51" t="s">
        <v>333</v>
      </c>
      <c r="B58" s="52">
        <v>10</v>
      </c>
      <c r="C58" s="52">
        <v>207</v>
      </c>
    </row>
    <row r="59" spans="1:3" ht="28.5" customHeight="1">
      <c r="A59" s="21" t="s">
        <v>224</v>
      </c>
      <c r="B59" s="173">
        <f>SUM(B51:B58)/8</f>
        <v>10.625</v>
      </c>
      <c r="C59" s="173">
        <f>SUM(C51:C58)/8</f>
        <v>209.78125</v>
      </c>
    </row>
    <row r="62" spans="1:3" s="11" customFormat="1" ht="81" customHeight="1">
      <c r="A62" s="24" t="s">
        <v>46</v>
      </c>
      <c r="B62" s="282" t="s">
        <v>380</v>
      </c>
      <c r="C62" s="282"/>
    </row>
    <row r="63" spans="1:3" s="11" customFormat="1" ht="39" customHeight="1">
      <c r="A63" s="167" t="s">
        <v>269</v>
      </c>
      <c r="B63" s="168" t="s">
        <v>458</v>
      </c>
      <c r="C63" s="168" t="s">
        <v>464</v>
      </c>
    </row>
    <row r="64" spans="1:3" ht="18" customHeight="1">
      <c r="A64" s="51" t="s">
        <v>129</v>
      </c>
      <c r="B64" s="52">
        <f>22/2</f>
        <v>11</v>
      </c>
      <c r="C64" s="52">
        <f>500/2</f>
        <v>250</v>
      </c>
    </row>
    <row r="65" spans="1:3" ht="18" customHeight="1">
      <c r="A65" s="51" t="s">
        <v>254</v>
      </c>
      <c r="B65" s="52">
        <f>21/2</f>
        <v>10.5</v>
      </c>
      <c r="C65" s="52">
        <f>435/2</f>
        <v>217.5</v>
      </c>
    </row>
    <row r="66" spans="1:3" ht="18" customHeight="1">
      <c r="A66" s="51" t="s">
        <v>123</v>
      </c>
      <c r="B66" s="52">
        <v>11</v>
      </c>
      <c r="C66" s="52">
        <v>210</v>
      </c>
    </row>
    <row r="67" spans="1:3" ht="18" customHeight="1">
      <c r="A67" s="51" t="s">
        <v>121</v>
      </c>
      <c r="B67" s="52">
        <f>22/2</f>
        <v>11</v>
      </c>
      <c r="C67" s="52">
        <f>450/2</f>
        <v>225</v>
      </c>
    </row>
    <row r="68" spans="1:3" ht="18" customHeight="1">
      <c r="A68" s="51" t="s">
        <v>114</v>
      </c>
      <c r="B68" s="52">
        <v>11</v>
      </c>
      <c r="C68" s="52">
        <v>230</v>
      </c>
    </row>
    <row r="69" spans="1:3" ht="18" customHeight="1">
      <c r="A69" s="51" t="s">
        <v>336</v>
      </c>
      <c r="B69" s="52">
        <v>11</v>
      </c>
      <c r="C69" s="52">
        <v>215</v>
      </c>
    </row>
    <row r="70" spans="1:3" ht="18" customHeight="1">
      <c r="A70" s="51" t="s">
        <v>100</v>
      </c>
      <c r="B70" s="52">
        <v>11</v>
      </c>
      <c r="C70" s="52">
        <v>215</v>
      </c>
    </row>
    <row r="71" spans="1:3" ht="18" customHeight="1">
      <c r="A71" s="51" t="s">
        <v>242</v>
      </c>
      <c r="B71" s="52">
        <v>11</v>
      </c>
      <c r="C71" s="52">
        <v>200</v>
      </c>
    </row>
    <row r="72" spans="1:3" ht="18" customHeight="1">
      <c r="A72" s="51" t="s">
        <v>95</v>
      </c>
      <c r="B72" s="52">
        <v>11</v>
      </c>
      <c r="C72" s="52">
        <v>218</v>
      </c>
    </row>
    <row r="73" spans="1:3" ht="28.5" customHeight="1">
      <c r="A73" s="21" t="s">
        <v>225</v>
      </c>
      <c r="B73" s="173">
        <f>SUM(B64:B72)/9</f>
        <v>10.944444444444445</v>
      </c>
      <c r="C73" s="173">
        <f>SUM(C64:C72)/9</f>
        <v>220.05555555555554</v>
      </c>
    </row>
    <row r="75" ht="12.75">
      <c r="A75" s="155" t="s">
        <v>485</v>
      </c>
    </row>
    <row r="78" spans="1:3" s="11" customFormat="1" ht="81" customHeight="1">
      <c r="A78" s="24" t="s">
        <v>46</v>
      </c>
      <c r="B78" s="282" t="s">
        <v>379</v>
      </c>
      <c r="C78" s="282"/>
    </row>
    <row r="79" spans="1:3" s="11" customFormat="1" ht="39" customHeight="1">
      <c r="A79" s="167" t="s">
        <v>269</v>
      </c>
      <c r="B79" s="168" t="s">
        <v>458</v>
      </c>
      <c r="C79" s="168" t="s">
        <v>464</v>
      </c>
    </row>
    <row r="80" spans="1:3" ht="18" customHeight="1">
      <c r="A80" s="51" t="s">
        <v>161</v>
      </c>
      <c r="B80" s="52">
        <v>11</v>
      </c>
      <c r="C80" s="52">
        <v>216.66666666666666</v>
      </c>
    </row>
    <row r="81" spans="1:3" ht="18" customHeight="1">
      <c r="A81" s="51" t="s">
        <v>162</v>
      </c>
      <c r="B81" s="52">
        <v>11</v>
      </c>
      <c r="C81" s="52">
        <v>203.5</v>
      </c>
    </row>
    <row r="82" spans="1:3" ht="18" customHeight="1">
      <c r="A82" s="51" t="s">
        <v>164</v>
      </c>
      <c r="B82" s="52">
        <v>10.5</v>
      </c>
      <c r="C82" s="52">
        <v>217</v>
      </c>
    </row>
    <row r="83" spans="1:3" ht="18" customHeight="1">
      <c r="A83" s="51" t="s">
        <v>255</v>
      </c>
      <c r="B83" s="52">
        <v>10.727272727272727</v>
      </c>
      <c r="C83" s="52">
        <v>214.45454545454547</v>
      </c>
    </row>
    <row r="84" spans="1:3" ht="18" customHeight="1">
      <c r="A84" s="51" t="s">
        <v>167</v>
      </c>
      <c r="B84" s="52">
        <v>10</v>
      </c>
      <c r="C84" s="52">
        <v>196</v>
      </c>
    </row>
    <row r="85" spans="1:3" ht="18" customHeight="1">
      <c r="A85" s="51" t="s">
        <v>156</v>
      </c>
      <c r="B85" s="52">
        <v>11</v>
      </c>
      <c r="C85" s="52">
        <v>212</v>
      </c>
    </row>
    <row r="86" spans="1:3" ht="18" customHeight="1">
      <c r="A86" s="51" t="s">
        <v>404</v>
      </c>
      <c r="B86" s="52">
        <v>11</v>
      </c>
      <c r="C86" s="52">
        <v>220</v>
      </c>
    </row>
    <row r="87" spans="1:3" ht="28.5" customHeight="1">
      <c r="A87" s="21" t="s">
        <v>226</v>
      </c>
      <c r="B87" s="173">
        <f>SUM(B80:B86)/7</f>
        <v>10.746753246753245</v>
      </c>
      <c r="C87" s="173">
        <v>213.23809523809524</v>
      </c>
    </row>
    <row r="90" spans="1:3" s="11" customFormat="1" ht="81" customHeight="1">
      <c r="A90" s="24" t="s">
        <v>46</v>
      </c>
      <c r="B90" s="282" t="s">
        <v>377</v>
      </c>
      <c r="C90" s="282"/>
    </row>
    <row r="91" spans="1:3" s="11" customFormat="1" ht="39" customHeight="1">
      <c r="A91" s="167" t="s">
        <v>269</v>
      </c>
      <c r="B91" s="168" t="s">
        <v>458</v>
      </c>
      <c r="C91" s="168" t="s">
        <v>464</v>
      </c>
    </row>
    <row r="92" spans="1:3" ht="18" customHeight="1">
      <c r="A92" s="51" t="s">
        <v>337</v>
      </c>
      <c r="B92" s="52">
        <v>11</v>
      </c>
      <c r="C92" s="52">
        <v>204</v>
      </c>
    </row>
    <row r="93" spans="1:3" ht="18" customHeight="1">
      <c r="A93" s="51" t="s">
        <v>338</v>
      </c>
      <c r="B93" s="52">
        <v>11</v>
      </c>
      <c r="C93" s="52">
        <v>210</v>
      </c>
    </row>
    <row r="94" spans="1:3" ht="18" customHeight="1">
      <c r="A94" s="51" t="s">
        <v>339</v>
      </c>
      <c r="B94" s="52">
        <v>12</v>
      </c>
      <c r="C94" s="52">
        <v>220</v>
      </c>
    </row>
    <row r="95" spans="1:3" ht="18" customHeight="1">
      <c r="A95" s="51" t="s">
        <v>233</v>
      </c>
      <c r="B95" s="52">
        <v>11</v>
      </c>
      <c r="C95" s="52">
        <v>217</v>
      </c>
    </row>
    <row r="96" spans="1:3" ht="18" customHeight="1">
      <c r="A96" s="51" t="s">
        <v>232</v>
      </c>
      <c r="B96" s="52">
        <v>11</v>
      </c>
      <c r="C96" s="52">
        <v>230</v>
      </c>
    </row>
    <row r="97" spans="1:3" ht="18" customHeight="1">
      <c r="A97" s="51" t="s">
        <v>256</v>
      </c>
      <c r="B97" s="52">
        <v>11.5</v>
      </c>
      <c r="C97" s="52">
        <v>216</v>
      </c>
    </row>
    <row r="98" spans="1:3" ht="28.5" customHeight="1">
      <c r="A98" s="21" t="s">
        <v>182</v>
      </c>
      <c r="B98" s="173">
        <f>SUM(B92:B97)/6</f>
        <v>11.25</v>
      </c>
      <c r="C98" s="173">
        <f>SUM(C92:C97)/6</f>
        <v>216.16666666666666</v>
      </c>
    </row>
    <row r="101" spans="1:3" s="11" customFormat="1" ht="81" customHeight="1">
      <c r="A101" s="24" t="s">
        <v>46</v>
      </c>
      <c r="B101" s="282" t="s">
        <v>378</v>
      </c>
      <c r="C101" s="282"/>
    </row>
    <row r="102" spans="1:3" s="11" customFormat="1" ht="39" customHeight="1">
      <c r="A102" s="167" t="s">
        <v>269</v>
      </c>
      <c r="B102" s="168" t="s">
        <v>458</v>
      </c>
      <c r="C102" s="168" t="s">
        <v>464</v>
      </c>
    </row>
    <row r="103" spans="1:3" ht="18" customHeight="1">
      <c r="A103" s="51" t="s">
        <v>152</v>
      </c>
      <c r="B103" s="52">
        <v>12</v>
      </c>
      <c r="C103" s="52">
        <v>0</v>
      </c>
    </row>
    <row r="104" spans="1:3" ht="18" customHeight="1">
      <c r="A104" s="51" t="s">
        <v>150</v>
      </c>
      <c r="B104" s="52">
        <v>11</v>
      </c>
      <c r="C104" s="52">
        <v>205</v>
      </c>
    </row>
    <row r="105" spans="1:3" ht="18" customHeight="1">
      <c r="A105" s="51" t="s">
        <v>180</v>
      </c>
      <c r="B105" s="52">
        <v>11</v>
      </c>
      <c r="C105" s="52">
        <v>245</v>
      </c>
    </row>
    <row r="106" spans="1:3" ht="28.5" customHeight="1">
      <c r="A106" s="21" t="s">
        <v>183</v>
      </c>
      <c r="B106" s="173">
        <f>SUM(B103:B105)/3</f>
        <v>11.333333333333334</v>
      </c>
      <c r="C106" s="173">
        <f>SUM(C103:C105)/2</f>
        <v>225</v>
      </c>
    </row>
    <row r="108" ht="24" customHeight="1">
      <c r="A108" s="158" t="s">
        <v>14</v>
      </c>
    </row>
    <row r="111" spans="1:3" s="11" customFormat="1" ht="81" customHeight="1">
      <c r="A111" s="24" t="s">
        <v>46</v>
      </c>
      <c r="B111" s="282" t="s">
        <v>376</v>
      </c>
      <c r="C111" s="282"/>
    </row>
    <row r="112" spans="1:3" s="11" customFormat="1" ht="39" customHeight="1">
      <c r="A112" s="167" t="s">
        <v>269</v>
      </c>
      <c r="B112" s="168" t="s">
        <v>458</v>
      </c>
      <c r="C112" s="168" t="s">
        <v>464</v>
      </c>
    </row>
    <row r="113" spans="1:3" ht="18" customHeight="1">
      <c r="A113" s="51" t="s">
        <v>258</v>
      </c>
      <c r="B113" s="52">
        <v>12</v>
      </c>
      <c r="C113" s="52">
        <v>224</v>
      </c>
    </row>
    <row r="114" spans="1:3" ht="28.5" customHeight="1">
      <c r="A114" s="21" t="s">
        <v>184</v>
      </c>
      <c r="B114" s="173">
        <f>SUM(B113)</f>
        <v>12</v>
      </c>
      <c r="C114" s="173">
        <f>SUM(C113)</f>
        <v>224</v>
      </c>
    </row>
  </sheetData>
  <mergeCells count="11">
    <mergeCell ref="B101:C101"/>
    <mergeCell ref="B111:C111"/>
    <mergeCell ref="B49:C49"/>
    <mergeCell ref="B62:C62"/>
    <mergeCell ref="B78:C78"/>
    <mergeCell ref="B90:C90"/>
    <mergeCell ref="B1:C1"/>
    <mergeCell ref="B22:C22"/>
    <mergeCell ref="B30:C30"/>
    <mergeCell ref="B40:C40"/>
    <mergeCell ref="A19:C19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21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47"/>
  <sheetViews>
    <sheetView zoomScale="75" zoomScaleNormal="75" workbookViewId="0" topLeftCell="A1">
      <selection activeCell="J22" sqref="J22"/>
    </sheetView>
  </sheetViews>
  <sheetFormatPr defaultColWidth="9.140625" defaultRowHeight="12.75"/>
  <cols>
    <col min="1" max="1" width="26.7109375" style="19" customWidth="1"/>
    <col min="2" max="2" width="9.140625" style="19" customWidth="1"/>
    <col min="3" max="3" width="8.00390625" style="19" customWidth="1"/>
    <col min="4" max="4" width="11.421875" style="19" customWidth="1"/>
    <col min="5" max="5" width="9.140625" style="19" customWidth="1"/>
    <col min="6" max="6" width="10.8515625" style="19" customWidth="1"/>
    <col min="7" max="7" width="10.00390625" style="19" bestFit="1" customWidth="1"/>
    <col min="8" max="8" width="9.8515625" style="19" customWidth="1"/>
    <col min="9" max="16384" width="9.140625" style="19" customWidth="1"/>
  </cols>
  <sheetData>
    <row r="1" spans="1:8" s="2" customFormat="1" ht="60.75" customHeight="1">
      <c r="A1" s="1" t="s">
        <v>440</v>
      </c>
      <c r="B1" s="237" t="s">
        <v>394</v>
      </c>
      <c r="C1" s="238"/>
      <c r="D1" s="238"/>
      <c r="E1" s="238"/>
      <c r="F1" s="238"/>
      <c r="G1" s="238"/>
      <c r="H1" s="252"/>
    </row>
    <row r="3" spans="1:8" s="2" customFormat="1" ht="24" customHeight="1">
      <c r="A3" s="255" t="s">
        <v>249</v>
      </c>
      <c r="B3" s="259" t="s">
        <v>260</v>
      </c>
      <c r="C3" s="260"/>
      <c r="D3" s="261"/>
      <c r="E3" s="257" t="s">
        <v>261</v>
      </c>
      <c r="F3" s="257" t="s">
        <v>262</v>
      </c>
      <c r="G3" s="257" t="s">
        <v>263</v>
      </c>
      <c r="H3" s="257" t="s">
        <v>264</v>
      </c>
    </row>
    <row r="4" spans="1:8" s="2" customFormat="1" ht="31.5">
      <c r="A4" s="256"/>
      <c r="B4" s="18" t="s">
        <v>265</v>
      </c>
      <c r="C4" s="62" t="s">
        <v>267</v>
      </c>
      <c r="D4" s="18" t="s">
        <v>266</v>
      </c>
      <c r="E4" s="258"/>
      <c r="F4" s="258"/>
      <c r="G4" s="258"/>
      <c r="H4" s="258"/>
    </row>
    <row r="5" spans="1:8" s="50" customFormat="1" ht="12.75">
      <c r="A5" s="3" t="s">
        <v>250</v>
      </c>
      <c r="B5" s="39">
        <f>B72</f>
        <v>25</v>
      </c>
      <c r="C5" s="39">
        <f>C72</f>
        <v>9</v>
      </c>
      <c r="D5" s="39">
        <f>D72</f>
        <v>5</v>
      </c>
      <c r="E5" s="39">
        <f>E72</f>
        <v>39</v>
      </c>
      <c r="F5" s="47">
        <f aca="true" t="shared" si="0" ref="F5:F14">E5/$E$14*100</f>
        <v>5.138339920948617</v>
      </c>
      <c r="G5" s="39">
        <f>F72</f>
        <v>1234</v>
      </c>
      <c r="H5" s="49">
        <f>G5/$G$14*100</f>
        <v>4.302949996513006</v>
      </c>
    </row>
    <row r="6" spans="1:8" s="50" customFormat="1" ht="12.75">
      <c r="A6" s="3" t="s">
        <v>251</v>
      </c>
      <c r="B6" s="39">
        <f>B100</f>
        <v>49</v>
      </c>
      <c r="C6" s="39">
        <f>C100</f>
        <v>7</v>
      </c>
      <c r="D6" s="39">
        <f>D100</f>
        <v>2</v>
      </c>
      <c r="E6" s="39">
        <f>E100</f>
        <v>58</v>
      </c>
      <c r="F6" s="47">
        <f t="shared" si="0"/>
        <v>7.64163372859025</v>
      </c>
      <c r="G6" s="39">
        <f>F100</f>
        <v>2448</v>
      </c>
      <c r="H6" s="49">
        <f aca="true" t="shared" si="1" ref="H6:H14">G6/$G$14*100</f>
        <v>8.53616012274217</v>
      </c>
    </row>
    <row r="7" spans="1:8" s="50" customFormat="1" ht="12.75">
      <c r="A7" s="3" t="s">
        <v>252</v>
      </c>
      <c r="B7" s="39">
        <f>B143</f>
        <v>65</v>
      </c>
      <c r="C7" s="39">
        <f>C143</f>
        <v>4</v>
      </c>
      <c r="D7" s="39">
        <f>D143</f>
        <v>36</v>
      </c>
      <c r="E7" s="39">
        <f>E143</f>
        <v>105</v>
      </c>
      <c r="F7" s="47">
        <f t="shared" si="0"/>
        <v>13.83399209486166</v>
      </c>
      <c r="G7" s="39">
        <f>F143</f>
        <v>4247</v>
      </c>
      <c r="H7" s="49">
        <f t="shared" si="1"/>
        <v>14.809261454773695</v>
      </c>
    </row>
    <row r="8" spans="1:8" s="50" customFormat="1" ht="12.75">
      <c r="A8" s="3" t="s">
        <v>253</v>
      </c>
      <c r="B8" s="39">
        <f>B183</f>
        <v>112</v>
      </c>
      <c r="C8" s="39">
        <f>C183</f>
        <v>3</v>
      </c>
      <c r="D8" s="39">
        <f>D183</f>
        <v>13</v>
      </c>
      <c r="E8" s="39">
        <f>E183</f>
        <v>128</v>
      </c>
      <c r="F8" s="47">
        <f t="shared" si="0"/>
        <v>16.86429512516469</v>
      </c>
      <c r="G8" s="39">
        <f>F183</f>
        <v>4982</v>
      </c>
      <c r="H8" s="49">
        <f t="shared" si="1"/>
        <v>17.372201687704862</v>
      </c>
    </row>
    <row r="9" spans="1:8" s="50" customFormat="1" ht="12.75">
      <c r="A9" s="3" t="s">
        <v>254</v>
      </c>
      <c r="B9" s="39">
        <f>B239</f>
        <v>161</v>
      </c>
      <c r="C9" s="39">
        <f>C239</f>
        <v>7</v>
      </c>
      <c r="D9" s="39">
        <f>D239</f>
        <v>21</v>
      </c>
      <c r="E9" s="39">
        <f>E239</f>
        <v>189</v>
      </c>
      <c r="F9" s="47">
        <f t="shared" si="0"/>
        <v>24.90118577075099</v>
      </c>
      <c r="G9" s="39">
        <f>F239</f>
        <v>7622</v>
      </c>
      <c r="H9" s="49">
        <f t="shared" si="1"/>
        <v>26.57786456517191</v>
      </c>
    </row>
    <row r="10" spans="1:8" s="50" customFormat="1" ht="12.75">
      <c r="A10" s="3" t="s">
        <v>255</v>
      </c>
      <c r="B10" s="39">
        <f>B267</f>
        <v>40</v>
      </c>
      <c r="C10" s="39">
        <f>C267</f>
        <v>3</v>
      </c>
      <c r="D10" s="39">
        <f>D267</f>
        <v>19</v>
      </c>
      <c r="E10" s="39">
        <f>E267</f>
        <v>62</v>
      </c>
      <c r="F10" s="47">
        <f t="shared" si="0"/>
        <v>8.168642951251647</v>
      </c>
      <c r="G10" s="39">
        <f>F267</f>
        <v>2078</v>
      </c>
      <c r="H10" s="49">
        <f t="shared" si="1"/>
        <v>7.245972522491108</v>
      </c>
    </row>
    <row r="11" spans="1:8" s="50" customFormat="1" ht="12.75">
      <c r="A11" s="3" t="s">
        <v>256</v>
      </c>
      <c r="B11" s="39">
        <f>B293</f>
        <v>42</v>
      </c>
      <c r="C11" s="39">
        <f>C293</f>
        <v>6</v>
      </c>
      <c r="D11" s="39">
        <f>D293</f>
        <v>27</v>
      </c>
      <c r="E11" s="39">
        <f>E293</f>
        <v>75</v>
      </c>
      <c r="F11" s="47">
        <f t="shared" si="0"/>
        <v>9.881422924901186</v>
      </c>
      <c r="G11" s="39">
        <f>F293</f>
        <v>2531</v>
      </c>
      <c r="H11" s="49">
        <f t="shared" si="1"/>
        <v>8.825580584420113</v>
      </c>
    </row>
    <row r="12" spans="1:8" s="50" customFormat="1" ht="12.75">
      <c r="A12" s="3" t="s">
        <v>257</v>
      </c>
      <c r="B12" s="39">
        <f>B324</f>
        <v>40</v>
      </c>
      <c r="C12" s="39">
        <f>C324</f>
        <v>8</v>
      </c>
      <c r="D12" s="39">
        <f>D324</f>
        <v>26</v>
      </c>
      <c r="E12" s="39">
        <f>E324</f>
        <v>74</v>
      </c>
      <c r="F12" s="47">
        <f t="shared" si="0"/>
        <v>9.749670619235836</v>
      </c>
      <c r="G12" s="39">
        <f>F324</f>
        <v>2271</v>
      </c>
      <c r="H12" s="49">
        <f t="shared" si="1"/>
        <v>7.918962270730176</v>
      </c>
    </row>
    <row r="13" spans="1:8" s="50" customFormat="1" ht="12.75">
      <c r="A13" s="3" t="s">
        <v>258</v>
      </c>
      <c r="B13" s="39">
        <f>B343</f>
        <v>25</v>
      </c>
      <c r="C13" s="39">
        <f>C343</f>
        <v>2</v>
      </c>
      <c r="D13" s="39">
        <f>D343</f>
        <v>2</v>
      </c>
      <c r="E13" s="39">
        <f>E343</f>
        <v>29</v>
      </c>
      <c r="F13" s="47">
        <f t="shared" si="0"/>
        <v>3.820816864295125</v>
      </c>
      <c r="G13" s="39">
        <f>F343</f>
        <v>1265</v>
      </c>
      <c r="H13" s="49">
        <f t="shared" si="1"/>
        <v>4.41104679545296</v>
      </c>
    </row>
    <row r="14" spans="1:8" s="16" customFormat="1" ht="19.5" customHeight="1">
      <c r="A14" s="4" t="s">
        <v>259</v>
      </c>
      <c r="B14" s="45">
        <f>SUM(B5:B13)</f>
        <v>559</v>
      </c>
      <c r="C14" s="45">
        <f>SUM(C5:C13)</f>
        <v>49</v>
      </c>
      <c r="D14" s="45">
        <f>SUM(D5:D13)</f>
        <v>151</v>
      </c>
      <c r="E14" s="45">
        <f>SUM(E5:E13)</f>
        <v>759</v>
      </c>
      <c r="F14" s="48">
        <f t="shared" si="0"/>
        <v>100</v>
      </c>
      <c r="G14" s="45">
        <f>SUM(G5:G13)</f>
        <v>28678</v>
      </c>
      <c r="H14" s="46">
        <f t="shared" si="1"/>
        <v>100</v>
      </c>
    </row>
    <row r="16" spans="1:5" s="2" customFormat="1" ht="11.25">
      <c r="A16" s="25" t="s">
        <v>268</v>
      </c>
      <c r="D16" s="8"/>
      <c r="E16" s="9"/>
    </row>
    <row r="17" s="2" customFormat="1" ht="11.25">
      <c r="A17" s="7"/>
    </row>
    <row r="18" s="2" customFormat="1" ht="11.25">
      <c r="A18" s="7"/>
    </row>
    <row r="19" s="2" customFormat="1" ht="11.25">
      <c r="A19" s="7"/>
    </row>
    <row r="20" s="2" customFormat="1" ht="11.25">
      <c r="A20" s="7"/>
    </row>
    <row r="21" spans="1:5" s="2" customFormat="1" ht="22.5">
      <c r="A21" s="7"/>
      <c r="E21" s="90" t="s">
        <v>261</v>
      </c>
    </row>
    <row r="22" spans="1:5" s="2" customFormat="1" ht="11.25">
      <c r="A22" s="7"/>
      <c r="D22" s="11" t="s">
        <v>250</v>
      </c>
      <c r="E22" s="91">
        <f>E5</f>
        <v>39</v>
      </c>
    </row>
    <row r="23" spans="1:5" s="2" customFormat="1" ht="11.25">
      <c r="A23" s="7"/>
      <c r="D23" s="11" t="s">
        <v>251</v>
      </c>
      <c r="E23" s="91">
        <f aca="true" t="shared" si="2" ref="E23:E30">E6</f>
        <v>58</v>
      </c>
    </row>
    <row r="24" spans="1:5" s="2" customFormat="1" ht="11.25">
      <c r="A24" s="7"/>
      <c r="D24" s="11" t="s">
        <v>252</v>
      </c>
      <c r="E24" s="91">
        <f t="shared" si="2"/>
        <v>105</v>
      </c>
    </row>
    <row r="25" spans="1:5" s="2" customFormat="1" ht="11.25">
      <c r="A25" s="7"/>
      <c r="D25" s="11" t="s">
        <v>253</v>
      </c>
      <c r="E25" s="91">
        <f t="shared" si="2"/>
        <v>128</v>
      </c>
    </row>
    <row r="26" spans="1:5" s="2" customFormat="1" ht="11.25">
      <c r="A26" s="7"/>
      <c r="D26" s="11" t="s">
        <v>254</v>
      </c>
      <c r="E26" s="91">
        <f t="shared" si="2"/>
        <v>189</v>
      </c>
    </row>
    <row r="27" spans="1:5" s="2" customFormat="1" ht="11.25">
      <c r="A27" s="7"/>
      <c r="D27" s="11" t="s">
        <v>255</v>
      </c>
      <c r="E27" s="91">
        <f t="shared" si="2"/>
        <v>62</v>
      </c>
    </row>
    <row r="28" spans="1:5" s="2" customFormat="1" ht="11.25">
      <c r="A28" s="7"/>
      <c r="D28" s="11" t="s">
        <v>256</v>
      </c>
      <c r="E28" s="91">
        <f t="shared" si="2"/>
        <v>75</v>
      </c>
    </row>
    <row r="29" spans="1:5" s="2" customFormat="1" ht="11.25">
      <c r="A29" s="7"/>
      <c r="D29" s="11" t="s">
        <v>257</v>
      </c>
      <c r="E29" s="91">
        <f t="shared" si="2"/>
        <v>74</v>
      </c>
    </row>
    <row r="30" spans="1:5" s="2" customFormat="1" ht="11.25">
      <c r="A30" s="7"/>
      <c r="D30" s="11" t="s">
        <v>258</v>
      </c>
      <c r="E30" s="91">
        <f t="shared" si="2"/>
        <v>29</v>
      </c>
    </row>
    <row r="31" s="2" customFormat="1" ht="11.25">
      <c r="A31" s="7"/>
    </row>
    <row r="32" s="2" customFormat="1" ht="11.25">
      <c r="A32" s="7"/>
    </row>
    <row r="33" s="2" customFormat="1" ht="11.25">
      <c r="A33" s="7"/>
    </row>
    <row r="34" s="2" customFormat="1" ht="11.25">
      <c r="A34" s="7"/>
    </row>
    <row r="35" s="2" customFormat="1" ht="11.25">
      <c r="A35" s="7"/>
    </row>
    <row r="36" s="2" customFormat="1" ht="11.25">
      <c r="A36" s="7"/>
    </row>
    <row r="37" s="2" customFormat="1" ht="11.25">
      <c r="A37" s="7"/>
    </row>
    <row r="38" s="2" customFormat="1" ht="11.25">
      <c r="A38" s="7"/>
    </row>
    <row r="39" s="2" customFormat="1" ht="11.25">
      <c r="A39" s="7"/>
    </row>
    <row r="40" s="2" customFormat="1" ht="11.25">
      <c r="A40" s="7"/>
    </row>
    <row r="41" s="2" customFormat="1" ht="11.25">
      <c r="A41" s="7"/>
    </row>
    <row r="42" s="2" customFormat="1" ht="11.25">
      <c r="A42" s="7"/>
    </row>
    <row r="43" s="2" customFormat="1" ht="11.25">
      <c r="A43" s="7"/>
    </row>
    <row r="44" s="2" customFormat="1" ht="11.25">
      <c r="A44" s="7"/>
    </row>
    <row r="45" s="2" customFormat="1" ht="11.25">
      <c r="A45" s="7"/>
    </row>
    <row r="46" s="2" customFormat="1" ht="11.25">
      <c r="A46" s="7"/>
    </row>
    <row r="47" s="2" customFormat="1" ht="11.25">
      <c r="A47" s="7"/>
    </row>
    <row r="48" s="2" customFormat="1" ht="11.25">
      <c r="A48" s="7"/>
    </row>
    <row r="49" s="2" customFormat="1" ht="11.25">
      <c r="A49" s="7"/>
    </row>
    <row r="50" spans="1:8" s="2" customFormat="1" ht="33.75" customHeight="1">
      <c r="A50" s="245" t="s">
        <v>272</v>
      </c>
      <c r="B50" s="245"/>
      <c r="C50" s="245"/>
      <c r="D50" s="245"/>
      <c r="E50" s="245"/>
      <c r="F50" s="245"/>
      <c r="G50" s="245"/>
      <c r="H50" s="245"/>
    </row>
    <row r="51" spans="1:6" s="11" customFormat="1" ht="60.75" customHeight="1">
      <c r="A51" s="24" t="s">
        <v>440</v>
      </c>
      <c r="B51" s="248" t="s">
        <v>395</v>
      </c>
      <c r="C51" s="249"/>
      <c r="D51" s="249"/>
      <c r="E51" s="249"/>
      <c r="F51" s="250"/>
    </row>
    <row r="52" spans="1:6" s="11" customFormat="1" ht="28.5" customHeight="1">
      <c r="A52" s="251" t="s">
        <v>269</v>
      </c>
      <c r="B52" s="246" t="s">
        <v>260</v>
      </c>
      <c r="C52" s="246"/>
      <c r="D52" s="246"/>
      <c r="E52" s="18" t="s">
        <v>261</v>
      </c>
      <c r="F52" s="247" t="s">
        <v>263</v>
      </c>
    </row>
    <row r="53" spans="1:6" s="11" customFormat="1" ht="28.5" customHeight="1">
      <c r="A53" s="251"/>
      <c r="B53" s="18" t="s">
        <v>265</v>
      </c>
      <c r="C53" s="18" t="s">
        <v>267</v>
      </c>
      <c r="D53" s="18" t="s">
        <v>266</v>
      </c>
      <c r="E53" s="18"/>
      <c r="F53" s="247"/>
    </row>
    <row r="54" spans="1:6" s="50" customFormat="1" ht="12.75">
      <c r="A54" s="118" t="s">
        <v>186</v>
      </c>
      <c r="B54" s="119">
        <v>1</v>
      </c>
      <c r="C54" s="52">
        <v>0</v>
      </c>
      <c r="D54" s="52">
        <v>0</v>
      </c>
      <c r="E54" s="53">
        <v>1</v>
      </c>
      <c r="F54" s="120">
        <v>21</v>
      </c>
    </row>
    <row r="55" spans="1:6" s="50" customFormat="1" ht="12.75">
      <c r="A55" s="118" t="s">
        <v>365</v>
      </c>
      <c r="B55" s="119">
        <v>0</v>
      </c>
      <c r="C55" s="52">
        <v>1</v>
      </c>
      <c r="D55" s="52">
        <v>0</v>
      </c>
      <c r="E55" s="53">
        <v>1</v>
      </c>
      <c r="F55" s="120">
        <v>15</v>
      </c>
    </row>
    <row r="56" spans="1:6" s="50" customFormat="1" ht="12.75">
      <c r="A56" s="118" t="s">
        <v>187</v>
      </c>
      <c r="B56" s="119">
        <v>1</v>
      </c>
      <c r="C56" s="52">
        <v>0</v>
      </c>
      <c r="D56" s="52">
        <v>0</v>
      </c>
      <c r="E56" s="53">
        <v>1</v>
      </c>
      <c r="F56" s="120">
        <v>32</v>
      </c>
    </row>
    <row r="57" spans="1:6" s="50" customFormat="1" ht="12.75">
      <c r="A57" s="118" t="s">
        <v>240</v>
      </c>
      <c r="B57" s="119">
        <v>0</v>
      </c>
      <c r="C57" s="52">
        <v>1</v>
      </c>
      <c r="D57" s="52">
        <v>0</v>
      </c>
      <c r="E57" s="53">
        <v>1</v>
      </c>
      <c r="F57" s="120">
        <v>20</v>
      </c>
    </row>
    <row r="58" spans="1:6" s="50" customFormat="1" ht="12.75">
      <c r="A58" s="118" t="s">
        <v>188</v>
      </c>
      <c r="B58" s="119">
        <v>1</v>
      </c>
      <c r="C58" s="52">
        <v>0</v>
      </c>
      <c r="D58" s="52">
        <v>0</v>
      </c>
      <c r="E58" s="53">
        <v>1</v>
      </c>
      <c r="F58" s="120">
        <v>15</v>
      </c>
    </row>
    <row r="59" spans="1:6" s="50" customFormat="1" ht="12.75">
      <c r="A59" s="118" t="s">
        <v>189</v>
      </c>
      <c r="B59" s="119">
        <v>1</v>
      </c>
      <c r="C59" s="52">
        <v>0</v>
      </c>
      <c r="D59" s="52">
        <v>0</v>
      </c>
      <c r="E59" s="53">
        <v>1</v>
      </c>
      <c r="F59" s="120">
        <v>54</v>
      </c>
    </row>
    <row r="60" spans="1:6" s="50" customFormat="1" ht="12.75">
      <c r="A60" s="118" t="s">
        <v>190</v>
      </c>
      <c r="B60" s="119">
        <v>1</v>
      </c>
      <c r="C60" s="52">
        <v>0</v>
      </c>
      <c r="D60" s="52">
        <v>1</v>
      </c>
      <c r="E60" s="53">
        <v>2</v>
      </c>
      <c r="F60" s="120">
        <v>40</v>
      </c>
    </row>
    <row r="61" spans="1:6" s="50" customFormat="1" ht="12.75">
      <c r="A61" s="118" t="s">
        <v>191</v>
      </c>
      <c r="B61" s="119">
        <v>1</v>
      </c>
      <c r="C61" s="52">
        <v>0</v>
      </c>
      <c r="D61" s="52">
        <v>0</v>
      </c>
      <c r="E61" s="53">
        <v>1</v>
      </c>
      <c r="F61" s="120">
        <v>32</v>
      </c>
    </row>
    <row r="62" spans="1:6" s="50" customFormat="1" ht="12.75">
      <c r="A62" s="118" t="s">
        <v>192</v>
      </c>
      <c r="B62" s="119">
        <v>0</v>
      </c>
      <c r="C62" s="52">
        <v>1</v>
      </c>
      <c r="D62" s="52">
        <v>0</v>
      </c>
      <c r="E62" s="53">
        <v>1</v>
      </c>
      <c r="F62" s="120">
        <v>12</v>
      </c>
    </row>
    <row r="63" spans="1:6" s="50" customFormat="1" ht="12.75">
      <c r="A63" s="118" t="s">
        <v>193</v>
      </c>
      <c r="B63" s="119">
        <v>0</v>
      </c>
      <c r="C63" s="52">
        <v>1</v>
      </c>
      <c r="D63" s="52">
        <v>0</v>
      </c>
      <c r="E63" s="53">
        <v>1</v>
      </c>
      <c r="F63" s="120">
        <v>14</v>
      </c>
    </row>
    <row r="64" spans="1:6" s="50" customFormat="1" ht="12.75">
      <c r="A64" s="118" t="s">
        <v>363</v>
      </c>
      <c r="B64" s="119">
        <v>0</v>
      </c>
      <c r="C64" s="52">
        <v>1</v>
      </c>
      <c r="D64" s="52">
        <v>0</v>
      </c>
      <c r="E64" s="53">
        <v>1</v>
      </c>
      <c r="F64" s="120">
        <v>7</v>
      </c>
    </row>
    <row r="65" spans="1:6" s="50" customFormat="1" ht="12.75">
      <c r="A65" s="118" t="s">
        <v>250</v>
      </c>
      <c r="B65" s="119">
        <v>14</v>
      </c>
      <c r="C65" s="52">
        <v>3</v>
      </c>
      <c r="D65" s="52">
        <v>3</v>
      </c>
      <c r="E65" s="53">
        <v>20</v>
      </c>
      <c r="F65" s="120">
        <v>752</v>
      </c>
    </row>
    <row r="66" spans="1:6" s="50" customFormat="1" ht="12.75">
      <c r="A66" s="118" t="s">
        <v>194</v>
      </c>
      <c r="B66" s="119">
        <v>1</v>
      </c>
      <c r="C66" s="52">
        <v>0</v>
      </c>
      <c r="D66" s="52">
        <v>0</v>
      </c>
      <c r="E66" s="53">
        <v>1</v>
      </c>
      <c r="F66" s="120">
        <v>40</v>
      </c>
    </row>
    <row r="67" spans="1:6" s="50" customFormat="1" ht="12.75">
      <c r="A67" s="118" t="s">
        <v>195</v>
      </c>
      <c r="B67" s="119">
        <v>1</v>
      </c>
      <c r="C67" s="52">
        <v>0</v>
      </c>
      <c r="D67" s="52">
        <v>0</v>
      </c>
      <c r="E67" s="53">
        <v>1</v>
      </c>
      <c r="F67" s="120">
        <v>30</v>
      </c>
    </row>
    <row r="68" spans="1:6" s="50" customFormat="1" ht="12.75">
      <c r="A68" s="118" t="s">
        <v>196</v>
      </c>
      <c r="B68" s="119">
        <v>1</v>
      </c>
      <c r="C68" s="52">
        <v>0</v>
      </c>
      <c r="D68" s="52">
        <v>1</v>
      </c>
      <c r="E68" s="53">
        <v>2</v>
      </c>
      <c r="F68" s="120">
        <v>54</v>
      </c>
    </row>
    <row r="69" spans="1:6" s="50" customFormat="1" ht="12.75">
      <c r="A69" s="118" t="s">
        <v>197</v>
      </c>
      <c r="B69" s="119">
        <v>1</v>
      </c>
      <c r="C69" s="52">
        <v>0</v>
      </c>
      <c r="D69" s="52">
        <v>0</v>
      </c>
      <c r="E69" s="53">
        <v>1</v>
      </c>
      <c r="F69" s="120">
        <v>21</v>
      </c>
    </row>
    <row r="70" spans="1:6" s="50" customFormat="1" ht="12.75">
      <c r="A70" s="118" t="s">
        <v>198</v>
      </c>
      <c r="B70" s="119">
        <v>1</v>
      </c>
      <c r="C70" s="52">
        <v>0</v>
      </c>
      <c r="D70" s="52">
        <v>0</v>
      </c>
      <c r="E70" s="53">
        <v>1</v>
      </c>
      <c r="F70" s="120">
        <v>61</v>
      </c>
    </row>
    <row r="71" spans="1:6" s="50" customFormat="1" ht="16.5" customHeight="1">
      <c r="A71" s="118" t="s">
        <v>239</v>
      </c>
      <c r="B71" s="119">
        <v>0</v>
      </c>
      <c r="C71" s="52">
        <v>1</v>
      </c>
      <c r="D71" s="52">
        <v>0</v>
      </c>
      <c r="E71" s="53">
        <v>1</v>
      </c>
      <c r="F71" s="120">
        <v>14</v>
      </c>
    </row>
    <row r="72" spans="1:6" s="10" customFormat="1" ht="17.25" customHeight="1">
      <c r="A72" s="30" t="s">
        <v>270</v>
      </c>
      <c r="B72" s="22">
        <f>SUM(B54:B71)</f>
        <v>25</v>
      </c>
      <c r="C72" s="22">
        <f>SUM(C54:C71)</f>
        <v>9</v>
      </c>
      <c r="D72" s="22">
        <f>SUM(D54:D71)</f>
        <v>5</v>
      </c>
      <c r="E72" s="22">
        <f>SUM(E54:E71)</f>
        <v>39</v>
      </c>
      <c r="F72" s="22">
        <f>SUM(F54:F71)</f>
        <v>1234</v>
      </c>
    </row>
    <row r="73" s="50" customFormat="1" ht="12.75"/>
    <row r="74" s="50" customFormat="1" ht="12.75"/>
    <row r="75" spans="1:6" s="11" customFormat="1" ht="60.75" customHeight="1">
      <c r="A75" s="24" t="s">
        <v>440</v>
      </c>
      <c r="B75" s="248" t="s">
        <v>423</v>
      </c>
      <c r="C75" s="249"/>
      <c r="D75" s="249"/>
      <c r="E75" s="249"/>
      <c r="F75" s="250"/>
    </row>
    <row r="76" spans="1:6" s="11" customFormat="1" ht="28.5" customHeight="1">
      <c r="A76" s="251" t="s">
        <v>269</v>
      </c>
      <c r="B76" s="246" t="s">
        <v>260</v>
      </c>
      <c r="C76" s="246"/>
      <c r="D76" s="246"/>
      <c r="E76" s="243" t="s">
        <v>261</v>
      </c>
      <c r="F76" s="247" t="s">
        <v>263</v>
      </c>
    </row>
    <row r="77" spans="1:6" s="11" customFormat="1" ht="28.5" customHeight="1">
      <c r="A77" s="251"/>
      <c r="B77" s="18" t="s">
        <v>265</v>
      </c>
      <c r="C77" s="18" t="s">
        <v>267</v>
      </c>
      <c r="D77" s="18" t="s">
        <v>266</v>
      </c>
      <c r="E77" s="244"/>
      <c r="F77" s="247"/>
    </row>
    <row r="78" spans="1:14" s="50" customFormat="1" ht="12.75">
      <c r="A78" s="118" t="s">
        <v>199</v>
      </c>
      <c r="B78" s="119">
        <v>1</v>
      </c>
      <c r="C78" s="52">
        <v>0</v>
      </c>
      <c r="D78" s="52">
        <v>0</v>
      </c>
      <c r="E78" s="53">
        <v>1</v>
      </c>
      <c r="F78" s="120">
        <v>22</v>
      </c>
      <c r="H78" s="11"/>
      <c r="I78" s="11"/>
      <c r="J78" s="11"/>
      <c r="K78" s="11"/>
      <c r="L78" s="11"/>
      <c r="M78" s="11"/>
      <c r="N78" s="11"/>
    </row>
    <row r="79" spans="1:14" s="50" customFormat="1" ht="12.75">
      <c r="A79" s="118" t="s">
        <v>200</v>
      </c>
      <c r="B79" s="119">
        <v>1</v>
      </c>
      <c r="C79" s="52">
        <v>0</v>
      </c>
      <c r="D79" s="52">
        <v>0</v>
      </c>
      <c r="E79" s="53">
        <v>1</v>
      </c>
      <c r="F79" s="120">
        <v>63</v>
      </c>
      <c r="H79" s="11"/>
      <c r="I79" s="11"/>
      <c r="J79" s="11"/>
      <c r="K79" s="11"/>
      <c r="L79" s="11"/>
      <c r="M79" s="11"/>
      <c r="N79" s="11"/>
    </row>
    <row r="80" spans="1:14" s="50" customFormat="1" ht="12.75">
      <c r="A80" s="118" t="s">
        <v>201</v>
      </c>
      <c r="B80" s="119">
        <v>1</v>
      </c>
      <c r="C80" s="52">
        <v>0</v>
      </c>
      <c r="D80" s="52">
        <v>0</v>
      </c>
      <c r="E80" s="53">
        <v>1</v>
      </c>
      <c r="F80" s="120">
        <v>30</v>
      </c>
      <c r="H80" s="11"/>
      <c r="I80" s="11"/>
      <c r="J80" s="11"/>
      <c r="K80" s="11"/>
      <c r="L80" s="11"/>
      <c r="M80" s="11"/>
      <c r="N80" s="11"/>
    </row>
    <row r="81" spans="1:14" s="50" customFormat="1" ht="12.75">
      <c r="A81" s="118" t="s">
        <v>202</v>
      </c>
      <c r="B81" s="119">
        <v>1</v>
      </c>
      <c r="C81" s="52">
        <v>0</v>
      </c>
      <c r="D81" s="52">
        <v>0</v>
      </c>
      <c r="E81" s="53">
        <v>1</v>
      </c>
      <c r="F81" s="120">
        <v>80</v>
      </c>
      <c r="H81" s="11"/>
      <c r="I81" s="11"/>
      <c r="J81" s="11"/>
      <c r="K81" s="11"/>
      <c r="L81" s="11"/>
      <c r="M81" s="11"/>
      <c r="N81" s="11"/>
    </row>
    <row r="82" spans="1:14" s="50" customFormat="1" ht="12.75">
      <c r="A82" s="118" t="s">
        <v>203</v>
      </c>
      <c r="B82" s="119">
        <v>1</v>
      </c>
      <c r="C82" s="52">
        <v>1</v>
      </c>
      <c r="D82" s="52">
        <v>0</v>
      </c>
      <c r="E82" s="53">
        <v>2</v>
      </c>
      <c r="F82" s="120">
        <v>50</v>
      </c>
      <c r="H82" s="11"/>
      <c r="I82" s="11"/>
      <c r="J82" s="11"/>
      <c r="K82" s="11"/>
      <c r="L82" s="11"/>
      <c r="M82" s="11"/>
      <c r="N82" s="11"/>
    </row>
    <row r="83" spans="1:14" s="50" customFormat="1" ht="12.75">
      <c r="A83" s="118" t="s">
        <v>204</v>
      </c>
      <c r="B83" s="119">
        <v>1</v>
      </c>
      <c r="C83" s="52">
        <v>0</v>
      </c>
      <c r="D83" s="52">
        <v>0</v>
      </c>
      <c r="E83" s="53">
        <v>1</v>
      </c>
      <c r="F83" s="120">
        <v>69</v>
      </c>
      <c r="H83" s="11"/>
      <c r="I83" s="11"/>
      <c r="J83" s="11"/>
      <c r="K83" s="11"/>
      <c r="L83" s="11"/>
      <c r="M83" s="11"/>
      <c r="N83" s="11"/>
    </row>
    <row r="84" spans="1:14" s="50" customFormat="1" ht="12.75">
      <c r="A84" s="118" t="s">
        <v>205</v>
      </c>
      <c r="B84" s="119">
        <v>2</v>
      </c>
      <c r="C84" s="52">
        <v>0</v>
      </c>
      <c r="D84" s="52">
        <v>0</v>
      </c>
      <c r="E84" s="53">
        <v>2</v>
      </c>
      <c r="F84" s="120">
        <v>85</v>
      </c>
      <c r="H84" s="11"/>
      <c r="I84" s="11"/>
      <c r="J84" s="11"/>
      <c r="K84" s="11"/>
      <c r="L84" s="11"/>
      <c r="M84" s="11"/>
      <c r="N84" s="11"/>
    </row>
    <row r="85" spans="1:14" s="50" customFormat="1" ht="12.75">
      <c r="A85" s="118" t="s">
        <v>206</v>
      </c>
      <c r="B85" s="119">
        <v>1</v>
      </c>
      <c r="C85" s="52">
        <v>0</v>
      </c>
      <c r="D85" s="52">
        <v>0</v>
      </c>
      <c r="E85" s="53">
        <v>1</v>
      </c>
      <c r="F85" s="120">
        <v>26</v>
      </c>
      <c r="H85" s="11"/>
      <c r="I85" s="11"/>
      <c r="J85" s="11"/>
      <c r="K85" s="11"/>
      <c r="L85" s="11"/>
      <c r="M85" s="11"/>
      <c r="N85" s="11"/>
    </row>
    <row r="86" spans="1:14" s="50" customFormat="1" ht="12.75">
      <c r="A86" s="118" t="s">
        <v>207</v>
      </c>
      <c r="B86" s="119">
        <v>1</v>
      </c>
      <c r="C86" s="52">
        <v>0</v>
      </c>
      <c r="D86" s="52">
        <v>0</v>
      </c>
      <c r="E86" s="53">
        <v>1</v>
      </c>
      <c r="F86" s="120">
        <v>47</v>
      </c>
      <c r="H86" s="11"/>
      <c r="I86" s="11"/>
      <c r="J86" s="11"/>
      <c r="K86" s="11"/>
      <c r="L86" s="11"/>
      <c r="M86" s="11"/>
      <c r="N86" s="11"/>
    </row>
    <row r="87" spans="1:14" s="50" customFormat="1" ht="12.75">
      <c r="A87" s="118" t="s">
        <v>208</v>
      </c>
      <c r="B87" s="119">
        <v>1</v>
      </c>
      <c r="C87" s="52">
        <v>0</v>
      </c>
      <c r="D87" s="52">
        <v>1</v>
      </c>
      <c r="E87" s="53">
        <v>2</v>
      </c>
      <c r="F87" s="120">
        <v>74</v>
      </c>
      <c r="H87" s="11"/>
      <c r="I87" s="11"/>
      <c r="J87" s="11"/>
      <c r="K87" s="11"/>
      <c r="L87" s="11"/>
      <c r="M87" s="11"/>
      <c r="N87" s="11"/>
    </row>
    <row r="88" spans="1:14" s="50" customFormat="1" ht="12.75">
      <c r="A88" s="118" t="s">
        <v>209</v>
      </c>
      <c r="B88" s="119">
        <v>0</v>
      </c>
      <c r="C88" s="52">
        <v>1</v>
      </c>
      <c r="D88" s="52">
        <v>0</v>
      </c>
      <c r="E88" s="53">
        <v>1</v>
      </c>
      <c r="F88" s="120">
        <v>7</v>
      </c>
      <c r="H88" s="11"/>
      <c r="I88" s="11"/>
      <c r="J88" s="11"/>
      <c r="K88" s="11"/>
      <c r="L88" s="11"/>
      <c r="M88" s="11"/>
      <c r="N88" s="11"/>
    </row>
    <row r="89" spans="1:14" s="50" customFormat="1" ht="12.75">
      <c r="A89" s="118" t="s">
        <v>371</v>
      </c>
      <c r="B89" s="119">
        <v>0</v>
      </c>
      <c r="C89" s="52">
        <v>1</v>
      </c>
      <c r="D89" s="52">
        <v>0</v>
      </c>
      <c r="E89" s="53">
        <v>1</v>
      </c>
      <c r="F89" s="120">
        <v>10</v>
      </c>
      <c r="H89" s="11"/>
      <c r="I89" s="11"/>
      <c r="J89" s="11"/>
      <c r="K89" s="11"/>
      <c r="L89" s="11"/>
      <c r="M89" s="11"/>
      <c r="N89" s="11"/>
    </row>
    <row r="90" spans="1:14" s="50" customFormat="1" ht="12.75">
      <c r="A90" s="118" t="s">
        <v>210</v>
      </c>
      <c r="B90" s="119">
        <v>1</v>
      </c>
      <c r="C90" s="52">
        <v>1</v>
      </c>
      <c r="D90" s="52">
        <v>0</v>
      </c>
      <c r="E90" s="53">
        <v>2</v>
      </c>
      <c r="F90" s="120">
        <v>72</v>
      </c>
      <c r="H90" s="11"/>
      <c r="I90" s="11"/>
      <c r="J90" s="11"/>
      <c r="K90" s="11"/>
      <c r="L90" s="11"/>
      <c r="M90" s="11"/>
      <c r="N90" s="11"/>
    </row>
    <row r="91" spans="1:14" s="50" customFormat="1" ht="12.75">
      <c r="A91" s="118" t="s">
        <v>374</v>
      </c>
      <c r="B91" s="119">
        <v>0</v>
      </c>
      <c r="C91" s="52">
        <v>1</v>
      </c>
      <c r="D91" s="52">
        <v>0</v>
      </c>
      <c r="E91" s="53">
        <v>1</v>
      </c>
      <c r="F91" s="120">
        <v>23</v>
      </c>
      <c r="H91" s="11"/>
      <c r="I91" s="11"/>
      <c r="J91" s="11"/>
      <c r="K91" s="11"/>
      <c r="L91" s="11"/>
      <c r="M91" s="11"/>
      <c r="N91" s="11"/>
    </row>
    <row r="92" spans="1:14" s="50" customFormat="1" ht="12.75">
      <c r="A92" s="118" t="s">
        <v>211</v>
      </c>
      <c r="B92" s="119">
        <v>2</v>
      </c>
      <c r="C92" s="52">
        <v>0</v>
      </c>
      <c r="D92" s="52">
        <v>0</v>
      </c>
      <c r="E92" s="53">
        <v>2</v>
      </c>
      <c r="F92" s="120">
        <v>78</v>
      </c>
      <c r="H92" s="11"/>
      <c r="I92" s="11"/>
      <c r="J92" s="11"/>
      <c r="K92" s="11"/>
      <c r="L92" s="11"/>
      <c r="M92" s="11"/>
      <c r="N92" s="11"/>
    </row>
    <row r="93" spans="1:14" s="50" customFormat="1" ht="12.75">
      <c r="A93" s="118" t="s">
        <v>251</v>
      </c>
      <c r="B93" s="119">
        <v>26</v>
      </c>
      <c r="C93" s="52">
        <v>2</v>
      </c>
      <c r="D93" s="52">
        <v>1</v>
      </c>
      <c r="E93" s="53">
        <v>29</v>
      </c>
      <c r="F93" s="120">
        <v>1391</v>
      </c>
      <c r="H93" s="11"/>
      <c r="I93" s="11"/>
      <c r="J93" s="11"/>
      <c r="K93" s="11"/>
      <c r="L93" s="11"/>
      <c r="M93" s="11"/>
      <c r="N93" s="11"/>
    </row>
    <row r="94" spans="1:14" s="50" customFormat="1" ht="12.75">
      <c r="A94" s="118" t="s">
        <v>212</v>
      </c>
      <c r="B94" s="119">
        <v>3</v>
      </c>
      <c r="C94" s="52">
        <v>0</v>
      </c>
      <c r="D94" s="52">
        <v>0</v>
      </c>
      <c r="E94" s="53">
        <v>3</v>
      </c>
      <c r="F94" s="120">
        <v>106</v>
      </c>
      <c r="H94" s="11"/>
      <c r="I94" s="11"/>
      <c r="J94" s="11"/>
      <c r="K94" s="11"/>
      <c r="L94" s="11"/>
      <c r="M94" s="11"/>
      <c r="N94" s="11"/>
    </row>
    <row r="95" spans="1:14" s="50" customFormat="1" ht="12.75">
      <c r="A95" s="118" t="s">
        <v>213</v>
      </c>
      <c r="B95" s="119">
        <v>1</v>
      </c>
      <c r="C95" s="52">
        <v>0</v>
      </c>
      <c r="D95" s="52">
        <v>0</v>
      </c>
      <c r="E95" s="53">
        <v>1</v>
      </c>
      <c r="F95" s="120">
        <v>28</v>
      </c>
      <c r="H95" s="11"/>
      <c r="I95" s="11"/>
      <c r="J95" s="11"/>
      <c r="K95" s="11"/>
      <c r="L95" s="11"/>
      <c r="M95" s="11"/>
      <c r="N95" s="11"/>
    </row>
    <row r="96" spans="1:14" s="50" customFormat="1" ht="12.75">
      <c r="A96" s="118" t="s">
        <v>214</v>
      </c>
      <c r="B96" s="119">
        <v>2</v>
      </c>
      <c r="C96" s="52">
        <v>0</v>
      </c>
      <c r="D96" s="52">
        <v>0</v>
      </c>
      <c r="E96" s="53">
        <v>2</v>
      </c>
      <c r="F96" s="120">
        <v>84</v>
      </c>
      <c r="H96" s="11"/>
      <c r="I96" s="11"/>
      <c r="J96" s="11"/>
      <c r="K96" s="11"/>
      <c r="L96" s="11"/>
      <c r="M96" s="11"/>
      <c r="N96" s="11"/>
    </row>
    <row r="97" spans="1:14" s="50" customFormat="1" ht="12.75">
      <c r="A97" s="118" t="s">
        <v>215</v>
      </c>
      <c r="B97" s="119">
        <v>1</v>
      </c>
      <c r="C97" s="52">
        <v>0</v>
      </c>
      <c r="D97" s="52">
        <v>0</v>
      </c>
      <c r="E97" s="53">
        <v>1</v>
      </c>
      <c r="F97" s="120">
        <v>42</v>
      </c>
      <c r="H97" s="11"/>
      <c r="I97" s="11"/>
      <c r="J97" s="11"/>
      <c r="K97" s="11"/>
      <c r="L97" s="11"/>
      <c r="M97" s="11"/>
      <c r="N97" s="11"/>
    </row>
    <row r="98" spans="1:14" s="50" customFormat="1" ht="12.75">
      <c r="A98" s="118" t="s">
        <v>216</v>
      </c>
      <c r="B98" s="119">
        <v>1</v>
      </c>
      <c r="C98" s="52">
        <v>0</v>
      </c>
      <c r="D98" s="52">
        <v>0</v>
      </c>
      <c r="E98" s="53">
        <v>1</v>
      </c>
      <c r="F98" s="120">
        <v>35</v>
      </c>
      <c r="H98" s="11"/>
      <c r="I98" s="11"/>
      <c r="J98" s="11"/>
      <c r="K98" s="11"/>
      <c r="L98" s="11"/>
      <c r="M98" s="11"/>
      <c r="N98" s="11"/>
    </row>
    <row r="99" spans="1:14" s="50" customFormat="1" ht="12.75">
      <c r="A99" s="118" t="s">
        <v>243</v>
      </c>
      <c r="B99" s="119">
        <v>1</v>
      </c>
      <c r="C99" s="52">
        <v>0</v>
      </c>
      <c r="D99" s="52">
        <v>0</v>
      </c>
      <c r="E99" s="53">
        <v>1</v>
      </c>
      <c r="F99" s="120">
        <v>26</v>
      </c>
      <c r="H99" s="11"/>
      <c r="I99" s="11"/>
      <c r="J99" s="11"/>
      <c r="K99" s="11"/>
      <c r="L99" s="11"/>
      <c r="M99" s="11"/>
      <c r="N99" s="11"/>
    </row>
    <row r="100" spans="1:14" s="10" customFormat="1" ht="17.25" customHeight="1">
      <c r="A100" s="30" t="s">
        <v>271</v>
      </c>
      <c r="B100" s="22">
        <f>SUM(B78:B99)</f>
        <v>49</v>
      </c>
      <c r="C100" s="22">
        <f>SUM(C78:C99)</f>
        <v>7</v>
      </c>
      <c r="D100" s="22">
        <f>SUM(D78:D99)</f>
        <v>2</v>
      </c>
      <c r="E100" s="22">
        <f>SUM(E78:E99)</f>
        <v>58</v>
      </c>
      <c r="F100" s="22">
        <f>SUM(F78:F99)</f>
        <v>2448</v>
      </c>
      <c r="H100" s="11"/>
      <c r="I100" s="11"/>
      <c r="J100" s="11"/>
      <c r="K100" s="11"/>
      <c r="L100" s="11"/>
      <c r="M100" s="11"/>
      <c r="N100" s="11"/>
    </row>
    <row r="101" s="50" customFormat="1" ht="12.75"/>
    <row r="102" spans="1:2" s="56" customFormat="1" ht="19.5" customHeight="1">
      <c r="A102" s="61" t="s">
        <v>275</v>
      </c>
      <c r="B102" s="61"/>
    </row>
    <row r="103" spans="1:26" s="103" customFormat="1" ht="12.75">
      <c r="A103" s="56" t="s">
        <v>431</v>
      </c>
      <c r="C103" s="104"/>
      <c r="D103" s="105"/>
      <c r="E103" s="106"/>
      <c r="F103" s="107"/>
      <c r="G103" s="107"/>
      <c r="H103" s="108"/>
      <c r="I103" s="109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s="50" customFormat="1" ht="12.75"/>
    <row r="105" spans="1:6" s="11" customFormat="1" ht="60.75" customHeight="1">
      <c r="A105" s="24" t="s">
        <v>440</v>
      </c>
      <c r="B105" s="248" t="s">
        <v>412</v>
      </c>
      <c r="C105" s="249"/>
      <c r="D105" s="249"/>
      <c r="E105" s="249"/>
      <c r="F105" s="250"/>
    </row>
    <row r="106" spans="1:6" s="11" customFormat="1" ht="28.5" customHeight="1">
      <c r="A106" s="251" t="s">
        <v>269</v>
      </c>
      <c r="B106" s="246" t="s">
        <v>260</v>
      </c>
      <c r="C106" s="246"/>
      <c r="D106" s="246"/>
      <c r="E106" s="243" t="s">
        <v>261</v>
      </c>
      <c r="F106" s="247" t="s">
        <v>263</v>
      </c>
    </row>
    <row r="107" spans="1:6" s="11" customFormat="1" ht="28.5" customHeight="1">
      <c r="A107" s="251"/>
      <c r="B107" s="18" t="s">
        <v>265</v>
      </c>
      <c r="C107" s="18" t="s">
        <v>267</v>
      </c>
      <c r="D107" s="18" t="s">
        <v>266</v>
      </c>
      <c r="E107" s="244"/>
      <c r="F107" s="247"/>
    </row>
    <row r="108" spans="1:6" s="50" customFormat="1" ht="12.75">
      <c r="A108" s="118" t="s">
        <v>217</v>
      </c>
      <c r="B108" s="119">
        <v>1</v>
      </c>
      <c r="C108" s="52">
        <v>0</v>
      </c>
      <c r="D108" s="52">
        <v>0</v>
      </c>
      <c r="E108" s="53">
        <v>1</v>
      </c>
      <c r="F108" s="120">
        <v>94</v>
      </c>
    </row>
    <row r="109" spans="1:6" s="50" customFormat="1" ht="12.75">
      <c r="A109" s="118" t="s">
        <v>218</v>
      </c>
      <c r="B109" s="119">
        <v>2</v>
      </c>
      <c r="C109" s="52">
        <v>0</v>
      </c>
      <c r="D109" s="52">
        <v>2</v>
      </c>
      <c r="E109" s="53">
        <v>4</v>
      </c>
      <c r="F109" s="120">
        <v>118</v>
      </c>
    </row>
    <row r="110" spans="1:6" s="50" customFormat="1" ht="12.75">
      <c r="A110" s="118" t="s">
        <v>219</v>
      </c>
      <c r="B110" s="119">
        <v>0</v>
      </c>
      <c r="C110" s="52">
        <v>0</v>
      </c>
      <c r="D110" s="52">
        <v>2</v>
      </c>
      <c r="E110" s="53">
        <v>2</v>
      </c>
      <c r="F110" s="120">
        <v>36</v>
      </c>
    </row>
    <row r="111" spans="1:6" s="50" customFormat="1" ht="12.75">
      <c r="A111" s="118" t="s">
        <v>220</v>
      </c>
      <c r="B111" s="119">
        <v>1</v>
      </c>
      <c r="C111" s="52">
        <v>0</v>
      </c>
      <c r="D111" s="52">
        <v>0</v>
      </c>
      <c r="E111" s="53">
        <v>1</v>
      </c>
      <c r="F111" s="120">
        <v>70</v>
      </c>
    </row>
    <row r="112" spans="1:6" s="50" customFormat="1" ht="12.75">
      <c r="A112" s="118" t="s">
        <v>221</v>
      </c>
      <c r="B112" s="119">
        <v>1</v>
      </c>
      <c r="C112" s="52">
        <v>0</v>
      </c>
      <c r="D112" s="52">
        <v>0</v>
      </c>
      <c r="E112" s="53">
        <v>1</v>
      </c>
      <c r="F112" s="120">
        <v>56</v>
      </c>
    </row>
    <row r="113" spans="1:6" s="50" customFormat="1" ht="12.75">
      <c r="A113" s="118" t="s">
        <v>222</v>
      </c>
      <c r="B113" s="119">
        <v>1</v>
      </c>
      <c r="C113" s="52">
        <v>0</v>
      </c>
      <c r="D113" s="52">
        <v>1</v>
      </c>
      <c r="E113" s="53">
        <v>2</v>
      </c>
      <c r="F113" s="120">
        <v>70</v>
      </c>
    </row>
    <row r="114" spans="1:6" s="50" customFormat="1" ht="12.75">
      <c r="A114" s="118" t="s">
        <v>277</v>
      </c>
      <c r="B114" s="119">
        <v>1</v>
      </c>
      <c r="C114" s="52">
        <v>0</v>
      </c>
      <c r="D114" s="52">
        <v>1</v>
      </c>
      <c r="E114" s="53">
        <v>2</v>
      </c>
      <c r="F114" s="120">
        <v>58</v>
      </c>
    </row>
    <row r="115" spans="1:6" s="50" customFormat="1" ht="12.75">
      <c r="A115" s="118" t="s">
        <v>278</v>
      </c>
      <c r="B115" s="119">
        <v>0</v>
      </c>
      <c r="C115" s="52">
        <v>0</v>
      </c>
      <c r="D115" s="52">
        <v>1</v>
      </c>
      <c r="E115" s="53">
        <v>1</v>
      </c>
      <c r="F115" s="120">
        <v>20</v>
      </c>
    </row>
    <row r="116" spans="1:6" s="50" customFormat="1" ht="12.75">
      <c r="A116" s="118" t="s">
        <v>279</v>
      </c>
      <c r="B116" s="119">
        <v>2</v>
      </c>
      <c r="C116" s="52">
        <v>0</v>
      </c>
      <c r="D116" s="52">
        <v>1</v>
      </c>
      <c r="E116" s="53">
        <v>3</v>
      </c>
      <c r="F116" s="120">
        <v>162</v>
      </c>
    </row>
    <row r="117" spans="1:6" s="50" customFormat="1" ht="12.75">
      <c r="A117" s="118" t="s">
        <v>247</v>
      </c>
      <c r="B117" s="119">
        <v>0</v>
      </c>
      <c r="C117" s="52">
        <v>0</v>
      </c>
      <c r="D117" s="52">
        <v>1</v>
      </c>
      <c r="E117" s="53">
        <v>1</v>
      </c>
      <c r="F117" s="120">
        <v>24</v>
      </c>
    </row>
    <row r="118" spans="1:6" s="50" customFormat="1" ht="12.75">
      <c r="A118" s="118" t="s">
        <v>280</v>
      </c>
      <c r="B118" s="119">
        <v>1</v>
      </c>
      <c r="C118" s="52">
        <v>1</v>
      </c>
      <c r="D118" s="52">
        <v>0</v>
      </c>
      <c r="E118" s="53">
        <v>2</v>
      </c>
      <c r="F118" s="120">
        <v>99</v>
      </c>
    </row>
    <row r="119" spans="1:6" s="50" customFormat="1" ht="12.75">
      <c r="A119" s="118" t="s">
        <v>281</v>
      </c>
      <c r="B119" s="119">
        <v>1</v>
      </c>
      <c r="C119" s="52">
        <v>0</v>
      </c>
      <c r="D119" s="52">
        <v>1</v>
      </c>
      <c r="E119" s="53">
        <v>2</v>
      </c>
      <c r="F119" s="120">
        <v>44</v>
      </c>
    </row>
    <row r="120" spans="1:6" s="50" customFormat="1" ht="12.75">
      <c r="A120" s="118" t="s">
        <v>282</v>
      </c>
      <c r="B120" s="119">
        <v>1</v>
      </c>
      <c r="C120" s="52">
        <v>0</v>
      </c>
      <c r="D120" s="52">
        <v>1</v>
      </c>
      <c r="E120" s="53">
        <v>2</v>
      </c>
      <c r="F120" s="120">
        <v>52</v>
      </c>
    </row>
    <row r="121" spans="1:6" s="50" customFormat="1" ht="12.75">
      <c r="A121" s="118" t="s">
        <v>283</v>
      </c>
      <c r="B121" s="119">
        <v>1</v>
      </c>
      <c r="C121" s="52">
        <v>0</v>
      </c>
      <c r="D121" s="52">
        <v>0</v>
      </c>
      <c r="E121" s="53">
        <v>1</v>
      </c>
      <c r="F121" s="120">
        <v>78</v>
      </c>
    </row>
    <row r="122" spans="1:6" s="50" customFormat="1" ht="12.75">
      <c r="A122" s="118" t="s">
        <v>284</v>
      </c>
      <c r="B122" s="119">
        <v>6</v>
      </c>
      <c r="C122" s="52">
        <v>0</v>
      </c>
      <c r="D122" s="52">
        <v>0</v>
      </c>
      <c r="E122" s="53">
        <v>6</v>
      </c>
      <c r="F122" s="120">
        <v>258</v>
      </c>
    </row>
    <row r="123" spans="1:6" s="50" customFormat="1" ht="12.75">
      <c r="A123" s="118" t="s">
        <v>285</v>
      </c>
      <c r="B123" s="119">
        <v>1</v>
      </c>
      <c r="C123" s="52">
        <v>0</v>
      </c>
      <c r="D123" s="52">
        <v>0</v>
      </c>
      <c r="E123" s="53">
        <v>1</v>
      </c>
      <c r="F123" s="120">
        <v>37</v>
      </c>
    </row>
    <row r="124" spans="1:6" s="50" customFormat="1" ht="12.75">
      <c r="A124" s="118" t="s">
        <v>286</v>
      </c>
      <c r="B124" s="119">
        <v>0</v>
      </c>
      <c r="C124" s="52">
        <v>1</v>
      </c>
      <c r="D124" s="52">
        <v>1</v>
      </c>
      <c r="E124" s="53">
        <v>2</v>
      </c>
      <c r="F124" s="120">
        <v>38</v>
      </c>
    </row>
    <row r="125" spans="1:6" s="50" customFormat="1" ht="12.75">
      <c r="A125" s="118" t="s">
        <v>287</v>
      </c>
      <c r="B125" s="119">
        <v>1</v>
      </c>
      <c r="C125" s="52">
        <v>0</v>
      </c>
      <c r="D125" s="52">
        <v>0</v>
      </c>
      <c r="E125" s="53">
        <v>1</v>
      </c>
      <c r="F125" s="120">
        <v>33</v>
      </c>
    </row>
    <row r="126" spans="1:6" s="50" customFormat="1" ht="12.75">
      <c r="A126" s="118" t="s">
        <v>288</v>
      </c>
      <c r="B126" s="119">
        <v>2</v>
      </c>
      <c r="C126" s="52">
        <v>0</v>
      </c>
      <c r="D126" s="52">
        <v>3</v>
      </c>
      <c r="E126" s="53">
        <v>5</v>
      </c>
      <c r="F126" s="120">
        <v>138</v>
      </c>
    </row>
    <row r="127" spans="1:6" s="50" customFormat="1" ht="12.75">
      <c r="A127" s="118" t="s">
        <v>289</v>
      </c>
      <c r="B127" s="119">
        <v>1</v>
      </c>
      <c r="C127" s="52">
        <v>0</v>
      </c>
      <c r="D127" s="52">
        <v>0</v>
      </c>
      <c r="E127" s="53">
        <v>1</v>
      </c>
      <c r="F127" s="120">
        <v>50</v>
      </c>
    </row>
    <row r="128" spans="1:6" s="50" customFormat="1" ht="12.75">
      <c r="A128" s="118" t="s">
        <v>290</v>
      </c>
      <c r="B128" s="119">
        <v>1</v>
      </c>
      <c r="C128" s="52">
        <v>0</v>
      </c>
      <c r="D128" s="52">
        <v>0</v>
      </c>
      <c r="E128" s="53">
        <v>1</v>
      </c>
      <c r="F128" s="120">
        <v>63</v>
      </c>
    </row>
    <row r="129" spans="1:6" s="50" customFormat="1" ht="12.75">
      <c r="A129" s="118" t="s">
        <v>291</v>
      </c>
      <c r="B129" s="119">
        <v>2</v>
      </c>
      <c r="C129" s="52">
        <v>1</v>
      </c>
      <c r="D129" s="52">
        <v>0</v>
      </c>
      <c r="E129" s="53">
        <v>3</v>
      </c>
      <c r="F129" s="120">
        <v>110</v>
      </c>
    </row>
    <row r="130" spans="1:6" s="50" customFormat="1" ht="12.75">
      <c r="A130" s="118" t="s">
        <v>292</v>
      </c>
      <c r="B130" s="119">
        <v>1</v>
      </c>
      <c r="C130" s="52">
        <v>1</v>
      </c>
      <c r="D130" s="52">
        <v>0</v>
      </c>
      <c r="E130" s="53">
        <v>2</v>
      </c>
      <c r="F130" s="120">
        <v>78</v>
      </c>
    </row>
    <row r="131" spans="1:6" s="50" customFormat="1" ht="12.75">
      <c r="A131" s="118" t="s">
        <v>293</v>
      </c>
      <c r="B131" s="119">
        <v>1</v>
      </c>
      <c r="C131" s="52">
        <v>0</v>
      </c>
      <c r="D131" s="52">
        <v>3</v>
      </c>
      <c r="E131" s="53">
        <v>4</v>
      </c>
      <c r="F131" s="120">
        <v>137</v>
      </c>
    </row>
    <row r="132" spans="1:6" s="50" customFormat="1" ht="12.75">
      <c r="A132" s="118" t="s">
        <v>294</v>
      </c>
      <c r="B132" s="119">
        <v>24</v>
      </c>
      <c r="C132" s="52">
        <v>0</v>
      </c>
      <c r="D132" s="52">
        <v>12</v>
      </c>
      <c r="E132" s="53">
        <v>36</v>
      </c>
      <c r="F132" s="120">
        <v>1625</v>
      </c>
    </row>
    <row r="133" spans="1:6" s="50" customFormat="1" ht="12.75">
      <c r="A133" s="118" t="s">
        <v>295</v>
      </c>
      <c r="B133" s="119">
        <v>1</v>
      </c>
      <c r="C133" s="52">
        <v>0</v>
      </c>
      <c r="D133" s="52">
        <v>2</v>
      </c>
      <c r="E133" s="53">
        <v>3</v>
      </c>
      <c r="F133" s="120">
        <v>76</v>
      </c>
    </row>
    <row r="134" spans="1:6" s="50" customFormat="1" ht="12.75">
      <c r="A134" s="118" t="s">
        <v>296</v>
      </c>
      <c r="B134" s="119">
        <v>1</v>
      </c>
      <c r="C134" s="52">
        <v>0</v>
      </c>
      <c r="D134" s="52">
        <v>0</v>
      </c>
      <c r="E134" s="53">
        <v>1</v>
      </c>
      <c r="F134" s="120">
        <v>36</v>
      </c>
    </row>
    <row r="135" spans="1:6" s="50" customFormat="1" ht="12.75">
      <c r="A135" s="118" t="s">
        <v>297</v>
      </c>
      <c r="B135" s="119">
        <v>1</v>
      </c>
      <c r="C135" s="52">
        <v>0</v>
      </c>
      <c r="D135" s="52">
        <v>1</v>
      </c>
      <c r="E135" s="53">
        <v>2</v>
      </c>
      <c r="F135" s="120">
        <v>35</v>
      </c>
    </row>
    <row r="136" spans="1:6" s="50" customFormat="1" ht="12.75">
      <c r="A136" s="118" t="s">
        <v>298</v>
      </c>
      <c r="B136" s="119">
        <v>2</v>
      </c>
      <c r="C136" s="52">
        <v>0</v>
      </c>
      <c r="D136" s="52">
        <v>0</v>
      </c>
      <c r="E136" s="53">
        <v>2</v>
      </c>
      <c r="F136" s="120">
        <v>124</v>
      </c>
    </row>
    <row r="137" spans="1:6" s="50" customFormat="1" ht="12.75">
      <c r="A137" s="118" t="s">
        <v>299</v>
      </c>
      <c r="B137" s="119">
        <v>2</v>
      </c>
      <c r="C137" s="52">
        <v>0</v>
      </c>
      <c r="D137" s="52">
        <v>0</v>
      </c>
      <c r="E137" s="53">
        <v>2</v>
      </c>
      <c r="F137" s="120">
        <v>102</v>
      </c>
    </row>
    <row r="138" spans="1:6" s="50" customFormat="1" ht="12.75">
      <c r="A138" s="118" t="s">
        <v>246</v>
      </c>
      <c r="B138" s="119">
        <v>1</v>
      </c>
      <c r="C138" s="52">
        <v>0</v>
      </c>
      <c r="D138" s="52">
        <v>0</v>
      </c>
      <c r="E138" s="53">
        <v>1</v>
      </c>
      <c r="F138" s="120">
        <v>56</v>
      </c>
    </row>
    <row r="139" spans="1:6" s="50" customFormat="1" ht="12.75">
      <c r="A139" s="118" t="s">
        <v>300</v>
      </c>
      <c r="B139" s="119">
        <v>1</v>
      </c>
      <c r="C139" s="52">
        <v>0</v>
      </c>
      <c r="D139" s="52">
        <v>0</v>
      </c>
      <c r="E139" s="53">
        <v>1</v>
      </c>
      <c r="F139" s="120">
        <v>69</v>
      </c>
    </row>
    <row r="140" spans="1:6" s="50" customFormat="1" ht="12.75">
      <c r="A140" s="118" t="s">
        <v>301</v>
      </c>
      <c r="B140" s="119">
        <v>2</v>
      </c>
      <c r="C140" s="52">
        <v>0</v>
      </c>
      <c r="D140" s="52">
        <v>1</v>
      </c>
      <c r="E140" s="53">
        <v>3</v>
      </c>
      <c r="F140" s="120">
        <v>143</v>
      </c>
    </row>
    <row r="141" spans="1:6" s="50" customFormat="1" ht="12.75">
      <c r="A141" s="118" t="s">
        <v>302</v>
      </c>
      <c r="B141" s="119">
        <v>1</v>
      </c>
      <c r="C141" s="52">
        <v>0</v>
      </c>
      <c r="D141" s="52">
        <v>0</v>
      </c>
      <c r="E141" s="53">
        <v>1</v>
      </c>
      <c r="F141" s="120">
        <v>24</v>
      </c>
    </row>
    <row r="142" spans="1:6" s="50" customFormat="1" ht="12.75">
      <c r="A142" s="118" t="s">
        <v>303</v>
      </c>
      <c r="B142" s="119">
        <v>0</v>
      </c>
      <c r="C142" s="52">
        <v>0</v>
      </c>
      <c r="D142" s="52">
        <v>2</v>
      </c>
      <c r="E142" s="53">
        <v>2</v>
      </c>
      <c r="F142" s="120">
        <v>34</v>
      </c>
    </row>
    <row r="143" spans="1:6" s="10" customFormat="1" ht="30" customHeight="1">
      <c r="A143" s="33" t="s">
        <v>223</v>
      </c>
      <c r="B143" s="22">
        <f>SUM(B108:B142)</f>
        <v>65</v>
      </c>
      <c r="C143" s="22">
        <f>SUM(C108:C142)</f>
        <v>4</v>
      </c>
      <c r="D143" s="22">
        <f>SUM(D108:D142)</f>
        <v>36</v>
      </c>
      <c r="E143" s="22">
        <f>SUM(E108:E142)</f>
        <v>105</v>
      </c>
      <c r="F143" s="22">
        <f>SUM(F108:F142)</f>
        <v>4247</v>
      </c>
    </row>
    <row r="144" s="50" customFormat="1" ht="12.75"/>
    <row r="145" spans="1:26" s="103" customFormat="1" ht="12.75">
      <c r="A145" s="56" t="s">
        <v>432</v>
      </c>
      <c r="B145" s="111"/>
      <c r="C145" s="104"/>
      <c r="D145" s="105"/>
      <c r="E145" s="106"/>
      <c r="F145" s="107"/>
      <c r="G145" s="107"/>
      <c r="H145" s="108"/>
      <c r="I145" s="109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="50" customFormat="1" ht="12.75"/>
    <row r="147" spans="1:6" s="11" customFormat="1" ht="60.75" customHeight="1">
      <c r="A147" s="24" t="s">
        <v>440</v>
      </c>
      <c r="B147" s="248" t="s">
        <v>410</v>
      </c>
      <c r="C147" s="249"/>
      <c r="D147" s="249"/>
      <c r="E147" s="249"/>
      <c r="F147" s="250"/>
    </row>
    <row r="148" spans="1:6" s="11" customFormat="1" ht="28.5" customHeight="1">
      <c r="A148" s="251" t="s">
        <v>269</v>
      </c>
      <c r="B148" s="246" t="s">
        <v>260</v>
      </c>
      <c r="C148" s="246"/>
      <c r="D148" s="246"/>
      <c r="E148" s="243" t="s">
        <v>261</v>
      </c>
      <c r="F148" s="247" t="s">
        <v>263</v>
      </c>
    </row>
    <row r="149" spans="1:6" s="11" customFormat="1" ht="28.5" customHeight="1">
      <c r="A149" s="251"/>
      <c r="B149" s="18" t="s">
        <v>265</v>
      </c>
      <c r="C149" s="18" t="s">
        <v>267</v>
      </c>
      <c r="D149" s="18" t="s">
        <v>266</v>
      </c>
      <c r="E149" s="244"/>
      <c r="F149" s="247"/>
    </row>
    <row r="150" spans="1:8" s="50" customFormat="1" ht="12.75">
      <c r="A150" s="118" t="s">
        <v>304</v>
      </c>
      <c r="B150" s="119">
        <v>1</v>
      </c>
      <c r="C150" s="52">
        <v>0</v>
      </c>
      <c r="D150" s="52">
        <v>1</v>
      </c>
      <c r="E150" s="53">
        <v>2</v>
      </c>
      <c r="F150" s="120">
        <v>44</v>
      </c>
      <c r="H150" s="11"/>
    </row>
    <row r="151" spans="1:8" s="50" customFormat="1" ht="12.75">
      <c r="A151" s="118" t="s">
        <v>305</v>
      </c>
      <c r="B151" s="119">
        <v>1</v>
      </c>
      <c r="C151" s="52">
        <v>0</v>
      </c>
      <c r="D151" s="52">
        <v>0</v>
      </c>
      <c r="E151" s="53">
        <v>1</v>
      </c>
      <c r="F151" s="120">
        <v>56</v>
      </c>
      <c r="H151" s="11"/>
    </row>
    <row r="152" spans="1:8" s="50" customFormat="1" ht="12.75">
      <c r="A152" s="118" t="s">
        <v>306</v>
      </c>
      <c r="B152" s="119">
        <v>1</v>
      </c>
      <c r="C152" s="52">
        <v>1</v>
      </c>
      <c r="D152" s="52">
        <v>0</v>
      </c>
      <c r="E152" s="53">
        <v>2</v>
      </c>
      <c r="F152" s="120">
        <v>85</v>
      </c>
      <c r="H152" s="11"/>
    </row>
    <row r="153" spans="1:8" s="50" customFormat="1" ht="12.75">
      <c r="A153" s="118" t="s">
        <v>307</v>
      </c>
      <c r="B153" s="119">
        <v>10</v>
      </c>
      <c r="C153" s="52">
        <v>0</v>
      </c>
      <c r="D153" s="52">
        <v>2</v>
      </c>
      <c r="E153" s="53">
        <v>12</v>
      </c>
      <c r="F153" s="120">
        <v>551</v>
      </c>
      <c r="H153" s="11"/>
    </row>
    <row r="154" spans="1:8" s="50" customFormat="1" ht="12.75">
      <c r="A154" s="118" t="s">
        <v>308</v>
      </c>
      <c r="B154" s="119">
        <v>6</v>
      </c>
      <c r="C154" s="52">
        <v>0</v>
      </c>
      <c r="D154" s="52">
        <v>1</v>
      </c>
      <c r="E154" s="53">
        <v>7</v>
      </c>
      <c r="F154" s="120">
        <v>248</v>
      </c>
      <c r="H154" s="11"/>
    </row>
    <row r="155" spans="1:8" s="50" customFormat="1" ht="12.75">
      <c r="A155" s="118" t="s">
        <v>309</v>
      </c>
      <c r="B155" s="119">
        <v>3</v>
      </c>
      <c r="C155" s="52">
        <v>0</v>
      </c>
      <c r="D155" s="52">
        <v>0</v>
      </c>
      <c r="E155" s="53">
        <v>3</v>
      </c>
      <c r="F155" s="120">
        <v>100</v>
      </c>
      <c r="H155" s="11"/>
    </row>
    <row r="156" spans="1:8" s="50" customFormat="1" ht="12.75">
      <c r="A156" s="118" t="s">
        <v>310</v>
      </c>
      <c r="B156" s="119">
        <v>1</v>
      </c>
      <c r="C156" s="52">
        <v>0</v>
      </c>
      <c r="D156" s="52">
        <v>0</v>
      </c>
      <c r="E156" s="53">
        <v>1</v>
      </c>
      <c r="F156" s="120">
        <v>75</v>
      </c>
      <c r="H156" s="11"/>
    </row>
    <row r="157" spans="1:8" s="50" customFormat="1" ht="12.75">
      <c r="A157" s="118" t="s">
        <v>311</v>
      </c>
      <c r="B157" s="119">
        <v>1</v>
      </c>
      <c r="C157" s="52">
        <v>0</v>
      </c>
      <c r="D157" s="52">
        <v>1</v>
      </c>
      <c r="E157" s="53">
        <v>2</v>
      </c>
      <c r="F157" s="120">
        <v>70</v>
      </c>
      <c r="H157" s="11"/>
    </row>
    <row r="158" spans="1:8" s="50" customFormat="1" ht="12.75">
      <c r="A158" s="118" t="s">
        <v>312</v>
      </c>
      <c r="B158" s="119">
        <v>1</v>
      </c>
      <c r="C158" s="52">
        <v>0</v>
      </c>
      <c r="D158" s="52">
        <v>0</v>
      </c>
      <c r="E158" s="53">
        <v>1</v>
      </c>
      <c r="F158" s="120">
        <v>45</v>
      </c>
      <c r="H158" s="11"/>
    </row>
    <row r="159" spans="1:8" s="50" customFormat="1" ht="12.75">
      <c r="A159" s="118" t="s">
        <v>313</v>
      </c>
      <c r="B159" s="119">
        <v>2</v>
      </c>
      <c r="C159" s="52">
        <v>0</v>
      </c>
      <c r="D159" s="52">
        <v>1</v>
      </c>
      <c r="E159" s="53">
        <v>3</v>
      </c>
      <c r="F159" s="120">
        <v>106</v>
      </c>
      <c r="H159" s="11"/>
    </row>
    <row r="160" spans="1:8" s="50" customFormat="1" ht="12.75">
      <c r="A160" s="118" t="s">
        <v>314</v>
      </c>
      <c r="B160" s="119">
        <v>2</v>
      </c>
      <c r="C160" s="52">
        <v>1</v>
      </c>
      <c r="D160" s="52">
        <v>0</v>
      </c>
      <c r="E160" s="53">
        <v>3</v>
      </c>
      <c r="F160" s="120">
        <v>122</v>
      </c>
      <c r="H160" s="11"/>
    </row>
    <row r="161" spans="1:8" s="50" customFormat="1" ht="12.75">
      <c r="A161" s="118" t="s">
        <v>315</v>
      </c>
      <c r="B161" s="119">
        <v>6</v>
      </c>
      <c r="C161" s="52">
        <v>1</v>
      </c>
      <c r="D161" s="52">
        <v>0</v>
      </c>
      <c r="E161" s="53">
        <v>7</v>
      </c>
      <c r="F161" s="120">
        <v>267</v>
      </c>
      <c r="H161" s="11"/>
    </row>
    <row r="162" spans="1:8" s="50" customFormat="1" ht="12.75">
      <c r="A162" s="118" t="s">
        <v>316</v>
      </c>
      <c r="B162" s="119">
        <v>0</v>
      </c>
      <c r="C162" s="52">
        <v>0</v>
      </c>
      <c r="D162" s="52">
        <v>1</v>
      </c>
      <c r="E162" s="53">
        <v>1</v>
      </c>
      <c r="F162" s="120">
        <v>8</v>
      </c>
      <c r="H162" s="11"/>
    </row>
    <row r="163" spans="1:8" s="50" customFormat="1" ht="12.75">
      <c r="A163" s="118" t="s">
        <v>317</v>
      </c>
      <c r="B163" s="119">
        <v>1</v>
      </c>
      <c r="C163" s="52">
        <v>0</v>
      </c>
      <c r="D163" s="52">
        <v>0</v>
      </c>
      <c r="E163" s="53">
        <v>1</v>
      </c>
      <c r="F163" s="120">
        <v>10</v>
      </c>
      <c r="H163" s="11"/>
    </row>
    <row r="164" spans="1:8" s="50" customFormat="1" ht="12.75">
      <c r="A164" s="118" t="s">
        <v>318</v>
      </c>
      <c r="B164" s="119">
        <v>3</v>
      </c>
      <c r="C164" s="52">
        <v>0</v>
      </c>
      <c r="D164" s="52">
        <v>0</v>
      </c>
      <c r="E164" s="53">
        <v>3</v>
      </c>
      <c r="F164" s="120">
        <v>141</v>
      </c>
      <c r="H164" s="11"/>
    </row>
    <row r="165" spans="1:8" s="50" customFormat="1" ht="12.75">
      <c r="A165" s="118" t="s">
        <v>319</v>
      </c>
      <c r="B165" s="119">
        <v>1</v>
      </c>
      <c r="C165" s="52">
        <v>0</v>
      </c>
      <c r="D165" s="52">
        <v>0</v>
      </c>
      <c r="E165" s="53">
        <v>1</v>
      </c>
      <c r="F165" s="120">
        <v>22</v>
      </c>
      <c r="H165" s="11"/>
    </row>
    <row r="166" spans="1:8" s="50" customFormat="1" ht="12.75">
      <c r="A166" s="118" t="s">
        <v>320</v>
      </c>
      <c r="B166" s="119">
        <v>1</v>
      </c>
      <c r="C166" s="52">
        <v>0</v>
      </c>
      <c r="D166" s="52">
        <v>0</v>
      </c>
      <c r="E166" s="53">
        <v>1</v>
      </c>
      <c r="F166" s="120">
        <v>53</v>
      </c>
      <c r="H166" s="11"/>
    </row>
    <row r="167" spans="1:8" s="50" customFormat="1" ht="12.75">
      <c r="A167" s="118" t="s">
        <v>321</v>
      </c>
      <c r="B167" s="119">
        <v>2</v>
      </c>
      <c r="C167" s="52">
        <v>0</v>
      </c>
      <c r="D167" s="52">
        <v>0</v>
      </c>
      <c r="E167" s="53">
        <v>2</v>
      </c>
      <c r="F167" s="120">
        <v>137</v>
      </c>
      <c r="H167" s="11"/>
    </row>
    <row r="168" spans="1:8" s="50" customFormat="1" ht="12.75">
      <c r="A168" s="118" t="s">
        <v>253</v>
      </c>
      <c r="B168" s="119">
        <v>38</v>
      </c>
      <c r="C168" s="52">
        <v>0</v>
      </c>
      <c r="D168" s="52">
        <v>4</v>
      </c>
      <c r="E168" s="53">
        <v>42</v>
      </c>
      <c r="F168" s="120">
        <v>1628</v>
      </c>
      <c r="H168" s="11"/>
    </row>
    <row r="169" spans="1:8" s="50" customFormat="1" ht="12.75">
      <c r="A169" s="118" t="s">
        <v>322</v>
      </c>
      <c r="B169" s="119">
        <v>2</v>
      </c>
      <c r="C169" s="52">
        <v>0</v>
      </c>
      <c r="D169" s="52">
        <v>0</v>
      </c>
      <c r="E169" s="53">
        <v>2</v>
      </c>
      <c r="F169" s="120">
        <v>75</v>
      </c>
      <c r="H169" s="11"/>
    </row>
    <row r="170" spans="1:8" s="50" customFormat="1" ht="12.75">
      <c r="A170" s="118" t="s">
        <v>323</v>
      </c>
      <c r="B170" s="119">
        <v>2</v>
      </c>
      <c r="C170" s="52">
        <v>0</v>
      </c>
      <c r="D170" s="52">
        <v>0</v>
      </c>
      <c r="E170" s="53">
        <v>2</v>
      </c>
      <c r="F170" s="120">
        <v>56</v>
      </c>
      <c r="H170" s="11"/>
    </row>
    <row r="171" spans="1:8" s="50" customFormat="1" ht="12.75">
      <c r="A171" s="118" t="s">
        <v>324</v>
      </c>
      <c r="B171" s="119">
        <v>2</v>
      </c>
      <c r="C171" s="52">
        <v>0</v>
      </c>
      <c r="D171" s="52">
        <v>0</v>
      </c>
      <c r="E171" s="53">
        <v>2</v>
      </c>
      <c r="F171" s="120">
        <v>77</v>
      </c>
      <c r="H171" s="11"/>
    </row>
    <row r="172" spans="1:8" s="50" customFormat="1" ht="12.75">
      <c r="A172" s="118" t="s">
        <v>325</v>
      </c>
      <c r="B172" s="119">
        <v>1</v>
      </c>
      <c r="C172" s="52">
        <v>0</v>
      </c>
      <c r="D172" s="52">
        <v>0</v>
      </c>
      <c r="E172" s="53">
        <v>1</v>
      </c>
      <c r="F172" s="120">
        <v>42</v>
      </c>
      <c r="H172" s="11"/>
    </row>
    <row r="173" spans="1:8" s="50" customFormat="1" ht="12.75">
      <c r="A173" s="118" t="s">
        <v>326</v>
      </c>
      <c r="B173" s="119">
        <v>1</v>
      </c>
      <c r="C173" s="52">
        <v>0</v>
      </c>
      <c r="D173" s="52">
        <v>0</v>
      </c>
      <c r="E173" s="53">
        <v>1</v>
      </c>
      <c r="F173" s="120">
        <v>56</v>
      </c>
      <c r="H173" s="11"/>
    </row>
    <row r="174" spans="1:8" s="50" customFormat="1" ht="12.75">
      <c r="A174" s="118" t="s">
        <v>327</v>
      </c>
      <c r="B174" s="119">
        <v>1</v>
      </c>
      <c r="C174" s="52">
        <v>0</v>
      </c>
      <c r="D174" s="52">
        <v>0</v>
      </c>
      <c r="E174" s="53">
        <v>1</v>
      </c>
      <c r="F174" s="120">
        <v>42</v>
      </c>
      <c r="H174" s="11"/>
    </row>
    <row r="175" spans="1:8" s="50" customFormat="1" ht="12.75">
      <c r="A175" s="118" t="s">
        <v>328</v>
      </c>
      <c r="B175" s="119">
        <v>0</v>
      </c>
      <c r="C175" s="52">
        <v>0</v>
      </c>
      <c r="D175" s="52">
        <v>2</v>
      </c>
      <c r="E175" s="53">
        <v>2</v>
      </c>
      <c r="F175" s="120">
        <v>27</v>
      </c>
      <c r="H175" s="11"/>
    </row>
    <row r="176" spans="1:8" s="50" customFormat="1" ht="12.75">
      <c r="A176" s="118" t="s">
        <v>329</v>
      </c>
      <c r="B176" s="119">
        <v>1</v>
      </c>
      <c r="C176" s="52">
        <v>0</v>
      </c>
      <c r="D176" s="52">
        <v>0</v>
      </c>
      <c r="E176" s="53">
        <v>1</v>
      </c>
      <c r="F176" s="120">
        <v>42</v>
      </c>
      <c r="H176" s="11"/>
    </row>
    <row r="177" spans="1:8" s="50" customFormat="1" ht="12.75">
      <c r="A177" s="118" t="s">
        <v>330</v>
      </c>
      <c r="B177" s="119">
        <v>10</v>
      </c>
      <c r="C177" s="52">
        <v>0</v>
      </c>
      <c r="D177" s="52">
        <v>0</v>
      </c>
      <c r="E177" s="53">
        <v>10</v>
      </c>
      <c r="F177" s="120">
        <v>325</v>
      </c>
      <c r="H177" s="11"/>
    </row>
    <row r="178" spans="1:8" s="50" customFormat="1" ht="12.75">
      <c r="A178" s="118" t="s">
        <v>331</v>
      </c>
      <c r="B178" s="119">
        <v>1</v>
      </c>
      <c r="C178" s="52">
        <v>0</v>
      </c>
      <c r="D178" s="52">
        <v>0</v>
      </c>
      <c r="E178" s="53">
        <v>1</v>
      </c>
      <c r="F178" s="120">
        <v>38</v>
      </c>
      <c r="H178" s="11"/>
    </row>
    <row r="179" spans="1:8" s="50" customFormat="1" ht="12.75">
      <c r="A179" s="118" t="s">
        <v>332</v>
      </c>
      <c r="B179" s="119">
        <v>3</v>
      </c>
      <c r="C179" s="52">
        <v>0</v>
      </c>
      <c r="D179" s="52">
        <v>0</v>
      </c>
      <c r="E179" s="53">
        <v>3</v>
      </c>
      <c r="F179" s="120">
        <v>152</v>
      </c>
      <c r="H179" s="11"/>
    </row>
    <row r="180" spans="1:8" s="50" customFormat="1" ht="12.75">
      <c r="A180" s="118" t="s">
        <v>333</v>
      </c>
      <c r="B180" s="119">
        <v>2</v>
      </c>
      <c r="C180" s="52">
        <v>0</v>
      </c>
      <c r="D180" s="52">
        <v>0</v>
      </c>
      <c r="E180" s="53">
        <v>2</v>
      </c>
      <c r="F180" s="120">
        <v>75</v>
      </c>
      <c r="H180" s="11"/>
    </row>
    <row r="181" spans="1:8" s="50" customFormat="1" ht="12.75">
      <c r="A181" s="118" t="s">
        <v>334</v>
      </c>
      <c r="B181" s="119">
        <v>4</v>
      </c>
      <c r="C181" s="52">
        <v>0</v>
      </c>
      <c r="D181" s="52">
        <v>0</v>
      </c>
      <c r="E181" s="53">
        <v>4</v>
      </c>
      <c r="F181" s="120">
        <v>194</v>
      </c>
      <c r="H181" s="11"/>
    </row>
    <row r="182" spans="1:8" s="50" customFormat="1" ht="12.75">
      <c r="A182" s="118" t="s">
        <v>248</v>
      </c>
      <c r="B182" s="119">
        <v>1</v>
      </c>
      <c r="C182" s="52">
        <v>0</v>
      </c>
      <c r="D182" s="52">
        <v>0</v>
      </c>
      <c r="E182" s="53">
        <v>1</v>
      </c>
      <c r="F182" s="120">
        <v>13</v>
      </c>
      <c r="H182" s="11"/>
    </row>
    <row r="183" spans="1:8" s="10" customFormat="1" ht="30" customHeight="1">
      <c r="A183" s="33" t="s">
        <v>224</v>
      </c>
      <c r="B183" s="22">
        <f>SUM(B150:B182)</f>
        <v>112</v>
      </c>
      <c r="C183" s="22">
        <f>SUM(C150:C182)</f>
        <v>3</v>
      </c>
      <c r="D183" s="22">
        <f>SUM(D150:D182)</f>
        <v>13</v>
      </c>
      <c r="E183" s="22">
        <f>SUM(E150:E182)</f>
        <v>128</v>
      </c>
      <c r="F183" s="22">
        <f>SUM(F150:F182)</f>
        <v>4982</v>
      </c>
      <c r="H183" s="11"/>
    </row>
    <row r="184" s="50" customFormat="1" ht="12.75">
      <c r="H184" s="11"/>
    </row>
    <row r="185" s="12" customFormat="1" ht="9">
      <c r="A185" s="12" t="s">
        <v>433</v>
      </c>
    </row>
    <row r="186" spans="1:6" s="114" customFormat="1" ht="12.75">
      <c r="A186" s="12" t="s">
        <v>434</v>
      </c>
      <c r="B186" s="112"/>
      <c r="C186" s="113"/>
      <c r="D186" s="112"/>
      <c r="E186" s="113"/>
      <c r="F186" s="112"/>
    </row>
    <row r="187" s="50" customFormat="1" ht="12.75">
      <c r="H187" s="11"/>
    </row>
    <row r="188" spans="1:6" s="11" customFormat="1" ht="59.25" customHeight="1">
      <c r="A188" s="24" t="s">
        <v>440</v>
      </c>
      <c r="B188" s="248" t="s">
        <v>407</v>
      </c>
      <c r="C188" s="249"/>
      <c r="D188" s="249"/>
      <c r="E188" s="249"/>
      <c r="F188" s="250"/>
    </row>
    <row r="189" spans="1:6" s="11" customFormat="1" ht="31.5" customHeight="1">
      <c r="A189" s="251" t="s">
        <v>269</v>
      </c>
      <c r="B189" s="246" t="s">
        <v>260</v>
      </c>
      <c r="C189" s="246"/>
      <c r="D189" s="246"/>
      <c r="E189" s="243" t="s">
        <v>261</v>
      </c>
      <c r="F189" s="247" t="s">
        <v>263</v>
      </c>
    </row>
    <row r="190" spans="1:6" s="11" customFormat="1" ht="37.5" customHeight="1">
      <c r="A190" s="251"/>
      <c r="B190" s="18" t="s">
        <v>265</v>
      </c>
      <c r="C190" s="18" t="s">
        <v>267</v>
      </c>
      <c r="D190" s="18" t="s">
        <v>266</v>
      </c>
      <c r="E190" s="244"/>
      <c r="F190" s="247"/>
    </row>
    <row r="191" spans="1:8" s="50" customFormat="1" ht="12.75">
      <c r="A191" s="118" t="s">
        <v>130</v>
      </c>
      <c r="B191" s="119">
        <v>2</v>
      </c>
      <c r="C191" s="52">
        <v>0</v>
      </c>
      <c r="D191" s="52">
        <v>0</v>
      </c>
      <c r="E191" s="53">
        <v>2</v>
      </c>
      <c r="F191" s="120">
        <v>138</v>
      </c>
      <c r="H191" s="11"/>
    </row>
    <row r="192" spans="1:8" s="50" customFormat="1" ht="12.75">
      <c r="A192" s="118" t="s">
        <v>129</v>
      </c>
      <c r="B192" s="119">
        <v>2</v>
      </c>
      <c r="C192" s="52">
        <v>0</v>
      </c>
      <c r="D192" s="52">
        <v>2</v>
      </c>
      <c r="E192" s="53">
        <v>4</v>
      </c>
      <c r="F192" s="120">
        <v>150</v>
      </c>
      <c r="H192" s="11"/>
    </row>
    <row r="193" spans="1:8" s="50" customFormat="1" ht="12.75">
      <c r="A193" s="118" t="s">
        <v>128</v>
      </c>
      <c r="B193" s="119">
        <v>2</v>
      </c>
      <c r="C193" s="52">
        <v>0</v>
      </c>
      <c r="D193" s="52">
        <v>0</v>
      </c>
      <c r="E193" s="53">
        <v>2</v>
      </c>
      <c r="F193" s="120">
        <v>49</v>
      </c>
      <c r="H193" s="11"/>
    </row>
    <row r="194" spans="1:8" s="50" customFormat="1" ht="12.75">
      <c r="A194" s="118" t="s">
        <v>127</v>
      </c>
      <c r="B194" s="119">
        <v>1</v>
      </c>
      <c r="C194" s="52">
        <v>0</v>
      </c>
      <c r="D194" s="52">
        <v>0</v>
      </c>
      <c r="E194" s="53">
        <v>1</v>
      </c>
      <c r="F194" s="120">
        <v>49</v>
      </c>
      <c r="H194" s="11"/>
    </row>
    <row r="195" spans="1:8" s="50" customFormat="1" ht="12.75">
      <c r="A195" s="118" t="s">
        <v>126</v>
      </c>
      <c r="B195" s="119">
        <v>1</v>
      </c>
      <c r="C195" s="52">
        <v>0</v>
      </c>
      <c r="D195" s="52">
        <v>0</v>
      </c>
      <c r="E195" s="53">
        <v>1</v>
      </c>
      <c r="F195" s="120">
        <v>38</v>
      </c>
      <c r="H195" s="11"/>
    </row>
    <row r="196" spans="1:8" s="50" customFormat="1" ht="12.75">
      <c r="A196" s="118" t="s">
        <v>254</v>
      </c>
      <c r="B196" s="119">
        <v>63</v>
      </c>
      <c r="C196" s="52">
        <v>3</v>
      </c>
      <c r="D196" s="52">
        <v>8</v>
      </c>
      <c r="E196" s="53">
        <v>74</v>
      </c>
      <c r="F196" s="120">
        <v>3046</v>
      </c>
      <c r="H196" s="11"/>
    </row>
    <row r="197" spans="1:8" s="50" customFormat="1" ht="12.75">
      <c r="A197" s="118" t="s">
        <v>125</v>
      </c>
      <c r="B197" s="119">
        <v>1</v>
      </c>
      <c r="C197" s="52">
        <v>0</v>
      </c>
      <c r="D197" s="52">
        <v>0</v>
      </c>
      <c r="E197" s="53">
        <v>1</v>
      </c>
      <c r="F197" s="120">
        <v>40</v>
      </c>
      <c r="H197" s="11"/>
    </row>
    <row r="198" spans="1:8" s="50" customFormat="1" ht="12.75">
      <c r="A198" s="118" t="s">
        <v>124</v>
      </c>
      <c r="B198" s="119">
        <v>2</v>
      </c>
      <c r="C198" s="52">
        <v>0</v>
      </c>
      <c r="D198" s="52">
        <v>0</v>
      </c>
      <c r="E198" s="53">
        <v>2</v>
      </c>
      <c r="F198" s="120">
        <v>88</v>
      </c>
      <c r="H198" s="11"/>
    </row>
    <row r="199" spans="1:8" s="50" customFormat="1" ht="12.75">
      <c r="A199" s="118" t="s">
        <v>123</v>
      </c>
      <c r="B199" s="119">
        <v>3</v>
      </c>
      <c r="C199" s="52">
        <v>0</v>
      </c>
      <c r="D199" s="52">
        <v>1</v>
      </c>
      <c r="E199" s="53">
        <v>4</v>
      </c>
      <c r="F199" s="120">
        <v>139</v>
      </c>
      <c r="H199" s="11"/>
    </row>
    <row r="200" spans="1:8" s="50" customFormat="1" ht="12.75">
      <c r="A200" s="118" t="s">
        <v>122</v>
      </c>
      <c r="B200" s="119">
        <v>6</v>
      </c>
      <c r="C200" s="52">
        <v>0</v>
      </c>
      <c r="D200" s="52">
        <v>0</v>
      </c>
      <c r="E200" s="53">
        <v>6</v>
      </c>
      <c r="F200" s="120">
        <v>298</v>
      </c>
      <c r="H200" s="11"/>
    </row>
    <row r="201" spans="1:8" s="50" customFormat="1" ht="12.75">
      <c r="A201" s="118" t="s">
        <v>135</v>
      </c>
      <c r="B201" s="119">
        <v>0</v>
      </c>
      <c r="C201" s="52">
        <v>0</v>
      </c>
      <c r="D201" s="52">
        <v>1</v>
      </c>
      <c r="E201" s="53">
        <v>1</v>
      </c>
      <c r="F201" s="120">
        <v>21</v>
      </c>
      <c r="H201" s="11"/>
    </row>
    <row r="202" spans="1:8" s="50" customFormat="1" ht="12.75">
      <c r="A202" s="118" t="s">
        <v>121</v>
      </c>
      <c r="B202" s="119">
        <v>3</v>
      </c>
      <c r="C202" s="52">
        <v>0</v>
      </c>
      <c r="D202" s="52">
        <v>1</v>
      </c>
      <c r="E202" s="53">
        <v>4</v>
      </c>
      <c r="F202" s="120">
        <v>171</v>
      </c>
      <c r="H202" s="11"/>
    </row>
    <row r="203" spans="1:8" s="50" customFormat="1" ht="12.75">
      <c r="A203" s="118" t="s">
        <v>120</v>
      </c>
      <c r="B203" s="119">
        <v>3</v>
      </c>
      <c r="C203" s="52">
        <v>0</v>
      </c>
      <c r="D203" s="52">
        <v>0</v>
      </c>
      <c r="E203" s="53">
        <v>3</v>
      </c>
      <c r="F203" s="120">
        <v>175</v>
      </c>
      <c r="H203" s="11"/>
    </row>
    <row r="204" spans="1:8" s="50" customFormat="1" ht="12.75">
      <c r="A204" s="118" t="s">
        <v>119</v>
      </c>
      <c r="B204" s="119">
        <v>1</v>
      </c>
      <c r="C204" s="52">
        <v>0</v>
      </c>
      <c r="D204" s="52">
        <v>0</v>
      </c>
      <c r="E204" s="53">
        <v>1</v>
      </c>
      <c r="F204" s="120">
        <v>44</v>
      </c>
      <c r="H204" s="11"/>
    </row>
    <row r="205" spans="1:8" s="50" customFormat="1" ht="12.75">
      <c r="A205" s="118" t="s">
        <v>136</v>
      </c>
      <c r="B205" s="119">
        <v>1</v>
      </c>
      <c r="C205" s="52">
        <v>0</v>
      </c>
      <c r="D205" s="52">
        <v>0</v>
      </c>
      <c r="E205" s="53">
        <v>1</v>
      </c>
      <c r="F205" s="120">
        <v>27</v>
      </c>
      <c r="H205" s="11"/>
    </row>
    <row r="206" spans="1:8" s="50" customFormat="1" ht="12.75">
      <c r="A206" s="118" t="s">
        <v>335</v>
      </c>
      <c r="B206" s="119">
        <v>3</v>
      </c>
      <c r="C206" s="52">
        <v>0</v>
      </c>
      <c r="D206" s="52">
        <v>0</v>
      </c>
      <c r="E206" s="53">
        <v>3</v>
      </c>
      <c r="F206" s="120">
        <v>104</v>
      </c>
      <c r="H206" s="11"/>
    </row>
    <row r="207" spans="1:8" s="50" customFormat="1" ht="12.75">
      <c r="A207" s="118" t="s">
        <v>134</v>
      </c>
      <c r="B207" s="119">
        <v>0</v>
      </c>
      <c r="C207" s="52">
        <v>1</v>
      </c>
      <c r="D207" s="52">
        <v>0</v>
      </c>
      <c r="E207" s="53">
        <v>1</v>
      </c>
      <c r="F207" s="120">
        <v>14</v>
      </c>
      <c r="H207" s="11"/>
    </row>
    <row r="208" spans="1:8" s="50" customFormat="1" ht="12.75">
      <c r="A208" s="118" t="s">
        <v>118</v>
      </c>
      <c r="B208" s="119">
        <v>1</v>
      </c>
      <c r="C208" s="52">
        <v>0</v>
      </c>
      <c r="D208" s="52">
        <v>0</v>
      </c>
      <c r="E208" s="53">
        <v>1</v>
      </c>
      <c r="F208" s="120">
        <v>68</v>
      </c>
      <c r="H208" s="11"/>
    </row>
    <row r="209" spans="1:8" s="50" customFormat="1" ht="12.75">
      <c r="A209" s="118" t="s">
        <v>117</v>
      </c>
      <c r="B209" s="119">
        <v>2</v>
      </c>
      <c r="C209" s="52">
        <v>0</v>
      </c>
      <c r="D209" s="52">
        <v>0</v>
      </c>
      <c r="E209" s="53">
        <v>2</v>
      </c>
      <c r="F209" s="120">
        <v>90</v>
      </c>
      <c r="H209" s="11"/>
    </row>
    <row r="210" spans="1:8" s="50" customFormat="1" ht="12.75">
      <c r="A210" s="118" t="s">
        <v>116</v>
      </c>
      <c r="B210" s="119">
        <v>1</v>
      </c>
      <c r="C210" s="52">
        <v>0</v>
      </c>
      <c r="D210" s="52">
        <v>0</v>
      </c>
      <c r="E210" s="53">
        <v>1</v>
      </c>
      <c r="F210" s="120">
        <v>70</v>
      </c>
      <c r="H210" s="11"/>
    </row>
    <row r="211" spans="1:8" s="50" customFormat="1" ht="12.75">
      <c r="A211" s="118" t="s">
        <v>115</v>
      </c>
      <c r="B211" s="119">
        <v>1</v>
      </c>
      <c r="C211" s="52">
        <v>0</v>
      </c>
      <c r="D211" s="52">
        <v>0</v>
      </c>
      <c r="E211" s="53">
        <v>1</v>
      </c>
      <c r="F211" s="120">
        <v>28</v>
      </c>
      <c r="H211" s="11"/>
    </row>
    <row r="212" spans="1:8" s="50" customFormat="1" ht="12.75">
      <c r="A212" s="118" t="s">
        <v>114</v>
      </c>
      <c r="B212" s="119">
        <v>3</v>
      </c>
      <c r="C212" s="52">
        <v>0</v>
      </c>
      <c r="D212" s="52">
        <v>0</v>
      </c>
      <c r="E212" s="53">
        <v>3</v>
      </c>
      <c r="F212" s="120">
        <v>127</v>
      </c>
      <c r="H212" s="11"/>
    </row>
    <row r="213" spans="1:8" s="50" customFormat="1" ht="12.75">
      <c r="A213" s="118" t="s">
        <v>113</v>
      </c>
      <c r="B213" s="119">
        <v>1</v>
      </c>
      <c r="C213" s="52">
        <v>0</v>
      </c>
      <c r="D213" s="52">
        <v>0</v>
      </c>
      <c r="E213" s="53">
        <v>1</v>
      </c>
      <c r="F213" s="120">
        <v>21</v>
      </c>
      <c r="H213" s="11"/>
    </row>
    <row r="214" spans="1:8" s="50" customFormat="1" ht="12.75">
      <c r="A214" s="118" t="s">
        <v>336</v>
      </c>
      <c r="B214" s="119">
        <v>11</v>
      </c>
      <c r="C214" s="52">
        <v>0</v>
      </c>
      <c r="D214" s="52">
        <v>0</v>
      </c>
      <c r="E214" s="53">
        <v>11</v>
      </c>
      <c r="F214" s="120">
        <v>503</v>
      </c>
      <c r="H214" s="11"/>
    </row>
    <row r="215" spans="1:8" s="50" customFormat="1" ht="12.75">
      <c r="A215" s="118" t="s">
        <v>355</v>
      </c>
      <c r="B215" s="119">
        <v>1</v>
      </c>
      <c r="C215" s="52">
        <v>0</v>
      </c>
      <c r="D215" s="52">
        <v>0</v>
      </c>
      <c r="E215" s="53">
        <v>1</v>
      </c>
      <c r="F215" s="120">
        <v>16</v>
      </c>
      <c r="H215" s="11"/>
    </row>
    <row r="216" spans="1:8" s="50" customFormat="1" ht="12.75">
      <c r="A216" s="118" t="s">
        <v>112</v>
      </c>
      <c r="B216" s="119">
        <v>2</v>
      </c>
      <c r="C216" s="52">
        <v>0</v>
      </c>
      <c r="D216" s="52">
        <v>0</v>
      </c>
      <c r="E216" s="53">
        <v>2</v>
      </c>
      <c r="F216" s="120">
        <v>48</v>
      </c>
      <c r="H216" s="11"/>
    </row>
    <row r="217" spans="1:8" s="50" customFormat="1" ht="12.75">
      <c r="A217" s="118" t="s">
        <v>133</v>
      </c>
      <c r="B217" s="119">
        <v>1</v>
      </c>
      <c r="C217" s="52">
        <v>0</v>
      </c>
      <c r="D217" s="52">
        <v>0</v>
      </c>
      <c r="E217" s="53">
        <v>1</v>
      </c>
      <c r="F217" s="120">
        <v>36</v>
      </c>
      <c r="H217" s="11"/>
    </row>
    <row r="218" spans="1:8" s="50" customFormat="1" ht="12.75">
      <c r="A218" s="118" t="s">
        <v>111</v>
      </c>
      <c r="B218" s="119">
        <v>3</v>
      </c>
      <c r="C218" s="52">
        <v>0</v>
      </c>
      <c r="D218" s="52">
        <v>1</v>
      </c>
      <c r="E218" s="53">
        <v>4</v>
      </c>
      <c r="F218" s="120">
        <v>157</v>
      </c>
      <c r="H218" s="11"/>
    </row>
    <row r="219" spans="1:8" s="50" customFormat="1" ht="12.75">
      <c r="A219" s="118" t="s">
        <v>110</v>
      </c>
      <c r="B219" s="119">
        <v>1</v>
      </c>
      <c r="C219" s="52">
        <v>0</v>
      </c>
      <c r="D219" s="52">
        <v>0</v>
      </c>
      <c r="E219" s="53">
        <v>1</v>
      </c>
      <c r="F219" s="120">
        <v>47</v>
      </c>
      <c r="H219" s="11"/>
    </row>
    <row r="220" spans="1:8" s="50" customFormat="1" ht="12.75">
      <c r="A220" s="118" t="s">
        <v>109</v>
      </c>
      <c r="B220" s="119">
        <v>4</v>
      </c>
      <c r="C220" s="52">
        <v>0</v>
      </c>
      <c r="D220" s="52">
        <v>0</v>
      </c>
      <c r="E220" s="53">
        <v>4</v>
      </c>
      <c r="F220" s="120">
        <v>121</v>
      </c>
      <c r="H220" s="11"/>
    </row>
    <row r="221" spans="1:8" s="50" customFormat="1" ht="12.75">
      <c r="A221" s="118" t="s">
        <v>132</v>
      </c>
      <c r="B221" s="119">
        <v>2</v>
      </c>
      <c r="C221" s="52">
        <v>0</v>
      </c>
      <c r="D221" s="52">
        <v>0</v>
      </c>
      <c r="E221" s="53">
        <v>2</v>
      </c>
      <c r="F221" s="120">
        <v>79</v>
      </c>
      <c r="H221" s="11"/>
    </row>
    <row r="222" spans="1:8" s="50" customFormat="1" ht="12.75">
      <c r="A222" s="118" t="s">
        <v>108</v>
      </c>
      <c r="B222" s="119">
        <v>1</v>
      </c>
      <c r="C222" s="52">
        <v>0</v>
      </c>
      <c r="D222" s="52">
        <v>0</v>
      </c>
      <c r="E222" s="53">
        <v>1</v>
      </c>
      <c r="F222" s="120">
        <v>21</v>
      </c>
      <c r="H222" s="11"/>
    </row>
    <row r="223" spans="1:8" s="50" customFormat="1" ht="12.75">
      <c r="A223" s="118" t="s">
        <v>107</v>
      </c>
      <c r="B223" s="119">
        <v>1</v>
      </c>
      <c r="C223" s="52">
        <v>0</v>
      </c>
      <c r="D223" s="52">
        <v>0</v>
      </c>
      <c r="E223" s="53">
        <v>1</v>
      </c>
      <c r="F223" s="120">
        <v>42</v>
      </c>
      <c r="H223" s="11"/>
    </row>
    <row r="224" spans="1:8" s="50" customFormat="1" ht="12.75">
      <c r="A224" s="118" t="s">
        <v>131</v>
      </c>
      <c r="B224" s="119">
        <v>1</v>
      </c>
      <c r="C224" s="52">
        <v>0</v>
      </c>
      <c r="D224" s="52">
        <v>0</v>
      </c>
      <c r="E224" s="53">
        <v>1</v>
      </c>
      <c r="F224" s="120">
        <v>30</v>
      </c>
      <c r="H224" s="11"/>
    </row>
    <row r="225" spans="1:8" s="50" customFormat="1" ht="12.75">
      <c r="A225" s="118" t="s">
        <v>106</v>
      </c>
      <c r="B225" s="119">
        <v>1</v>
      </c>
      <c r="C225" s="52">
        <v>0</v>
      </c>
      <c r="D225" s="52">
        <v>0</v>
      </c>
      <c r="E225" s="53">
        <v>1</v>
      </c>
      <c r="F225" s="120">
        <v>34</v>
      </c>
      <c r="H225" s="11"/>
    </row>
    <row r="226" spans="1:8" s="50" customFormat="1" ht="12.75">
      <c r="A226" s="118" t="s">
        <v>105</v>
      </c>
      <c r="B226" s="119">
        <v>2</v>
      </c>
      <c r="C226" s="52">
        <v>1</v>
      </c>
      <c r="D226" s="52">
        <v>0</v>
      </c>
      <c r="E226" s="53">
        <v>3</v>
      </c>
      <c r="F226" s="120">
        <v>110</v>
      </c>
      <c r="H226" s="11"/>
    </row>
    <row r="227" spans="1:8" s="50" customFormat="1" ht="12.75">
      <c r="A227" s="118" t="s">
        <v>104</v>
      </c>
      <c r="B227" s="119">
        <v>3</v>
      </c>
      <c r="C227" s="52">
        <v>0</v>
      </c>
      <c r="D227" s="52">
        <v>1</v>
      </c>
      <c r="E227" s="53">
        <v>4</v>
      </c>
      <c r="F227" s="120">
        <v>116</v>
      </c>
      <c r="H227" s="11"/>
    </row>
    <row r="228" spans="1:8" s="50" customFormat="1" ht="12.75">
      <c r="A228" s="118" t="s">
        <v>103</v>
      </c>
      <c r="B228" s="119">
        <v>1</v>
      </c>
      <c r="C228" s="52">
        <v>0</v>
      </c>
      <c r="D228" s="52">
        <v>0</v>
      </c>
      <c r="E228" s="53">
        <v>1</v>
      </c>
      <c r="F228" s="120">
        <v>49</v>
      </c>
      <c r="H228" s="11"/>
    </row>
    <row r="229" spans="1:8" s="50" customFormat="1" ht="12.75">
      <c r="A229" s="118" t="s">
        <v>102</v>
      </c>
      <c r="B229" s="119">
        <v>1</v>
      </c>
      <c r="C229" s="52">
        <v>0</v>
      </c>
      <c r="D229" s="52">
        <v>0</v>
      </c>
      <c r="E229" s="53">
        <v>1</v>
      </c>
      <c r="F229" s="120">
        <v>32</v>
      </c>
      <c r="H229" s="11"/>
    </row>
    <row r="230" spans="1:8" s="50" customFormat="1" ht="12.75">
      <c r="A230" s="118" t="s">
        <v>101</v>
      </c>
      <c r="B230" s="119">
        <v>1</v>
      </c>
      <c r="C230" s="52">
        <v>0</v>
      </c>
      <c r="D230" s="52">
        <v>0</v>
      </c>
      <c r="E230" s="53">
        <v>1</v>
      </c>
      <c r="F230" s="120">
        <v>58</v>
      </c>
      <c r="H230" s="11"/>
    </row>
    <row r="231" spans="1:8" s="50" customFormat="1" ht="12.75">
      <c r="A231" s="118" t="s">
        <v>100</v>
      </c>
      <c r="B231" s="119">
        <v>1</v>
      </c>
      <c r="C231" s="52">
        <v>0</v>
      </c>
      <c r="D231" s="52">
        <v>1</v>
      </c>
      <c r="E231" s="53">
        <v>2</v>
      </c>
      <c r="F231" s="120">
        <v>62</v>
      </c>
      <c r="H231" s="11"/>
    </row>
    <row r="232" spans="1:8" s="50" customFormat="1" ht="12.75">
      <c r="A232" s="118" t="s">
        <v>99</v>
      </c>
      <c r="B232" s="119">
        <v>3</v>
      </c>
      <c r="C232" s="52">
        <v>1</v>
      </c>
      <c r="D232" s="52">
        <v>2</v>
      </c>
      <c r="E232" s="53">
        <v>6</v>
      </c>
      <c r="F232" s="120">
        <v>256</v>
      </c>
      <c r="H232" s="11"/>
    </row>
    <row r="233" spans="1:8" s="50" customFormat="1" ht="12.75">
      <c r="A233" s="118" t="s">
        <v>98</v>
      </c>
      <c r="B233" s="119">
        <v>6</v>
      </c>
      <c r="C233" s="52">
        <v>0</v>
      </c>
      <c r="D233" s="52">
        <v>1</v>
      </c>
      <c r="E233" s="53">
        <v>7</v>
      </c>
      <c r="F233" s="120">
        <v>276</v>
      </c>
      <c r="H233" s="11"/>
    </row>
    <row r="234" spans="1:8" s="50" customFormat="1" ht="12.75">
      <c r="A234" s="118" t="s">
        <v>97</v>
      </c>
      <c r="B234" s="119">
        <v>2</v>
      </c>
      <c r="C234" s="52">
        <v>0</v>
      </c>
      <c r="D234" s="52">
        <v>0</v>
      </c>
      <c r="E234" s="53">
        <v>2</v>
      </c>
      <c r="F234" s="120">
        <v>124</v>
      </c>
      <c r="H234" s="11"/>
    </row>
    <row r="235" spans="1:8" s="50" customFormat="1" ht="12.75">
      <c r="A235" s="118" t="s">
        <v>242</v>
      </c>
      <c r="B235" s="119">
        <v>1</v>
      </c>
      <c r="C235" s="52">
        <v>0</v>
      </c>
      <c r="D235" s="52">
        <v>1</v>
      </c>
      <c r="E235" s="53">
        <v>2</v>
      </c>
      <c r="F235" s="120">
        <v>89</v>
      </c>
      <c r="H235" s="11"/>
    </row>
    <row r="236" spans="1:8" s="50" customFormat="1" ht="12.75">
      <c r="A236" s="118" t="s">
        <v>96</v>
      </c>
      <c r="B236" s="119">
        <v>3</v>
      </c>
      <c r="C236" s="52">
        <v>0</v>
      </c>
      <c r="D236" s="52">
        <v>1</v>
      </c>
      <c r="E236" s="53">
        <v>4</v>
      </c>
      <c r="F236" s="120">
        <v>118</v>
      </c>
      <c r="H236" s="11"/>
    </row>
    <row r="237" spans="1:8" s="50" customFormat="1" ht="12.75">
      <c r="A237" s="118" t="s">
        <v>95</v>
      </c>
      <c r="B237" s="119">
        <v>1</v>
      </c>
      <c r="C237" s="52">
        <v>1</v>
      </c>
      <c r="D237" s="52">
        <v>0</v>
      </c>
      <c r="E237" s="53">
        <v>2</v>
      </c>
      <c r="F237" s="120">
        <v>47</v>
      </c>
      <c r="H237" s="11"/>
    </row>
    <row r="238" spans="1:8" s="50" customFormat="1" ht="12.75">
      <c r="A238" s="118" t="s">
        <v>241</v>
      </c>
      <c r="B238" s="119">
        <v>4</v>
      </c>
      <c r="C238" s="52">
        <v>0</v>
      </c>
      <c r="D238" s="52">
        <v>0</v>
      </c>
      <c r="E238" s="53">
        <v>4</v>
      </c>
      <c r="F238" s="120">
        <v>156</v>
      </c>
      <c r="H238" s="11"/>
    </row>
    <row r="239" spans="1:6" s="10" customFormat="1" ht="30" customHeight="1">
      <c r="A239" s="33" t="s">
        <v>225</v>
      </c>
      <c r="B239" s="22">
        <f>SUM(B191:B238)</f>
        <v>161</v>
      </c>
      <c r="C239" s="22">
        <f>SUM(C191:C238)</f>
        <v>7</v>
      </c>
      <c r="D239" s="22">
        <f>SUM(D191:D238)</f>
        <v>21</v>
      </c>
      <c r="E239" s="22">
        <f>SUM(E191:E238)</f>
        <v>189</v>
      </c>
      <c r="F239" s="22">
        <f>SUM(F191:F238)</f>
        <v>7622</v>
      </c>
    </row>
    <row r="240" s="50" customFormat="1" ht="12.75"/>
    <row r="241" spans="1:6" s="14" customFormat="1" ht="22.5" customHeight="1">
      <c r="A241" s="253" t="s">
        <v>430</v>
      </c>
      <c r="B241" s="254"/>
      <c r="C241" s="254"/>
      <c r="D241" s="254"/>
      <c r="E241" s="254"/>
      <c r="F241" s="254"/>
    </row>
    <row r="242" spans="1:6" s="14" customFormat="1" ht="27" customHeight="1">
      <c r="A242" s="253" t="s">
        <v>137</v>
      </c>
      <c r="B242" s="254"/>
      <c r="C242" s="254"/>
      <c r="D242" s="254"/>
      <c r="E242" s="254"/>
      <c r="F242" s="254"/>
    </row>
    <row r="243" s="50" customFormat="1" ht="12.75"/>
    <row r="244" spans="1:6" s="11" customFormat="1" ht="60.75" customHeight="1">
      <c r="A244" s="24" t="s">
        <v>440</v>
      </c>
      <c r="B244" s="248" t="s">
        <v>405</v>
      </c>
      <c r="C244" s="249"/>
      <c r="D244" s="249"/>
      <c r="E244" s="249"/>
      <c r="F244" s="250"/>
    </row>
    <row r="245" spans="1:6" s="11" customFormat="1" ht="28.5" customHeight="1">
      <c r="A245" s="251" t="s">
        <v>269</v>
      </c>
      <c r="B245" s="246" t="s">
        <v>260</v>
      </c>
      <c r="C245" s="246"/>
      <c r="D245" s="246"/>
      <c r="E245" s="243" t="s">
        <v>261</v>
      </c>
      <c r="F245" s="247" t="s">
        <v>263</v>
      </c>
    </row>
    <row r="246" spans="1:6" s="11" customFormat="1" ht="28.5" customHeight="1">
      <c r="A246" s="251"/>
      <c r="B246" s="18" t="s">
        <v>265</v>
      </c>
      <c r="C246" s="18" t="s">
        <v>267</v>
      </c>
      <c r="D246" s="18" t="s">
        <v>266</v>
      </c>
      <c r="E246" s="244"/>
      <c r="F246" s="247"/>
    </row>
    <row r="247" spans="1:6" s="50" customFormat="1" ht="12.75">
      <c r="A247" s="118" t="s">
        <v>159</v>
      </c>
      <c r="B247" s="119">
        <v>2</v>
      </c>
      <c r="C247" s="52">
        <v>0</v>
      </c>
      <c r="D247" s="52">
        <v>0</v>
      </c>
      <c r="E247" s="53">
        <v>2</v>
      </c>
      <c r="F247" s="120">
        <v>50</v>
      </c>
    </row>
    <row r="248" spans="1:6" s="50" customFormat="1" ht="12.75">
      <c r="A248" s="118" t="s">
        <v>160</v>
      </c>
      <c r="B248" s="119">
        <v>1</v>
      </c>
      <c r="C248" s="52">
        <v>0</v>
      </c>
      <c r="D248" s="52">
        <v>0</v>
      </c>
      <c r="E248" s="53">
        <v>1</v>
      </c>
      <c r="F248" s="120">
        <v>35</v>
      </c>
    </row>
    <row r="249" spans="1:6" s="50" customFormat="1" ht="12.75">
      <c r="A249" s="118" t="s">
        <v>161</v>
      </c>
      <c r="B249" s="119">
        <v>1</v>
      </c>
      <c r="C249" s="52">
        <v>0</v>
      </c>
      <c r="D249" s="52">
        <v>3</v>
      </c>
      <c r="E249" s="53">
        <v>4</v>
      </c>
      <c r="F249" s="120">
        <v>89</v>
      </c>
    </row>
    <row r="250" spans="1:6" s="50" customFormat="1" ht="12.75">
      <c r="A250" s="118" t="s">
        <v>162</v>
      </c>
      <c r="B250" s="119">
        <v>3</v>
      </c>
      <c r="C250" s="52">
        <v>0</v>
      </c>
      <c r="D250" s="52">
        <v>2</v>
      </c>
      <c r="E250" s="53">
        <v>5</v>
      </c>
      <c r="F250" s="120">
        <v>190</v>
      </c>
    </row>
    <row r="251" spans="1:6" s="50" customFormat="1" ht="12.75">
      <c r="A251" s="118" t="s">
        <v>163</v>
      </c>
      <c r="B251" s="119">
        <v>1</v>
      </c>
      <c r="C251" s="52">
        <v>0</v>
      </c>
      <c r="D251" s="52">
        <v>0</v>
      </c>
      <c r="E251" s="53">
        <v>1</v>
      </c>
      <c r="F251" s="120">
        <v>36</v>
      </c>
    </row>
    <row r="252" spans="1:6" s="50" customFormat="1" ht="12.75">
      <c r="A252" s="118" t="s">
        <v>227</v>
      </c>
      <c r="B252" s="119">
        <v>1</v>
      </c>
      <c r="C252" s="52">
        <v>0</v>
      </c>
      <c r="D252" s="52">
        <v>0</v>
      </c>
      <c r="E252" s="53">
        <v>1</v>
      </c>
      <c r="F252" s="120">
        <v>35</v>
      </c>
    </row>
    <row r="253" spans="1:6" s="50" customFormat="1" ht="12.75">
      <c r="A253" s="118" t="s">
        <v>164</v>
      </c>
      <c r="B253" s="119">
        <v>2</v>
      </c>
      <c r="C253" s="52">
        <v>0</v>
      </c>
      <c r="D253" s="52">
        <v>2</v>
      </c>
      <c r="E253" s="53">
        <v>4</v>
      </c>
      <c r="F253" s="120">
        <v>122</v>
      </c>
    </row>
    <row r="254" spans="1:6" s="50" customFormat="1" ht="12.75">
      <c r="A254" s="118" t="s">
        <v>255</v>
      </c>
      <c r="B254" s="119">
        <v>18</v>
      </c>
      <c r="C254" s="52">
        <v>2</v>
      </c>
      <c r="D254" s="52">
        <v>8</v>
      </c>
      <c r="E254" s="53">
        <v>28</v>
      </c>
      <c r="F254" s="120">
        <v>1109</v>
      </c>
    </row>
    <row r="255" spans="1:6" s="50" customFormat="1" ht="12.75">
      <c r="A255" s="118" t="s">
        <v>228</v>
      </c>
      <c r="B255" s="119">
        <v>1</v>
      </c>
      <c r="C255" s="52">
        <v>0</v>
      </c>
      <c r="D255" s="52">
        <v>0</v>
      </c>
      <c r="E255" s="53">
        <v>1</v>
      </c>
      <c r="F255" s="120">
        <v>19</v>
      </c>
    </row>
    <row r="256" spans="1:6" s="50" customFormat="1" ht="12.75">
      <c r="A256" s="118" t="s">
        <v>165</v>
      </c>
      <c r="B256" s="119">
        <v>1</v>
      </c>
      <c r="C256" s="52">
        <v>0</v>
      </c>
      <c r="D256" s="52">
        <v>0</v>
      </c>
      <c r="E256" s="53">
        <v>1</v>
      </c>
      <c r="F256" s="120">
        <v>18</v>
      </c>
    </row>
    <row r="257" spans="1:6" s="50" customFormat="1" ht="12.75">
      <c r="A257" s="118" t="s">
        <v>166</v>
      </c>
      <c r="B257" s="119">
        <v>1</v>
      </c>
      <c r="C257" s="52">
        <v>0</v>
      </c>
      <c r="D257" s="52">
        <v>0</v>
      </c>
      <c r="E257" s="53">
        <v>1</v>
      </c>
      <c r="F257" s="120">
        <v>34</v>
      </c>
    </row>
    <row r="258" spans="1:6" s="50" customFormat="1" ht="12.75">
      <c r="A258" s="118" t="s">
        <v>167</v>
      </c>
      <c r="B258" s="119">
        <v>1</v>
      </c>
      <c r="C258" s="52">
        <v>0</v>
      </c>
      <c r="D258" s="52">
        <v>1</v>
      </c>
      <c r="E258" s="53">
        <v>2</v>
      </c>
      <c r="F258" s="120">
        <v>50</v>
      </c>
    </row>
    <row r="259" spans="1:6" s="50" customFormat="1" ht="12.75">
      <c r="A259" s="118" t="s">
        <v>168</v>
      </c>
      <c r="B259" s="119">
        <v>1</v>
      </c>
      <c r="C259" s="52">
        <v>0</v>
      </c>
      <c r="D259" s="52">
        <v>1</v>
      </c>
      <c r="E259" s="53">
        <v>2</v>
      </c>
      <c r="F259" s="120">
        <v>40</v>
      </c>
    </row>
    <row r="260" spans="1:6" s="50" customFormat="1" ht="12.75">
      <c r="A260" s="118" t="s">
        <v>169</v>
      </c>
      <c r="B260" s="119">
        <v>1</v>
      </c>
      <c r="C260" s="52">
        <v>0</v>
      </c>
      <c r="D260" s="52">
        <v>0</v>
      </c>
      <c r="E260" s="53">
        <v>1</v>
      </c>
      <c r="F260" s="120">
        <v>30</v>
      </c>
    </row>
    <row r="261" spans="1:6" s="50" customFormat="1" ht="12.75">
      <c r="A261" s="118" t="s">
        <v>229</v>
      </c>
      <c r="B261" s="119">
        <v>1</v>
      </c>
      <c r="C261" s="52">
        <v>0</v>
      </c>
      <c r="D261" s="52">
        <v>0</v>
      </c>
      <c r="E261" s="53">
        <v>1</v>
      </c>
      <c r="F261" s="120">
        <v>40</v>
      </c>
    </row>
    <row r="262" spans="1:6" s="50" customFormat="1" ht="12.75">
      <c r="A262" s="118" t="s">
        <v>154</v>
      </c>
      <c r="B262" s="119">
        <v>2</v>
      </c>
      <c r="C262" s="52">
        <v>0</v>
      </c>
      <c r="D262" s="52">
        <v>0</v>
      </c>
      <c r="E262" s="53">
        <v>2</v>
      </c>
      <c r="F262" s="120">
        <v>74</v>
      </c>
    </row>
    <row r="263" spans="1:6" s="50" customFormat="1" ht="12.75">
      <c r="A263" s="118" t="s">
        <v>230</v>
      </c>
      <c r="B263" s="119">
        <v>0</v>
      </c>
      <c r="C263" s="52">
        <v>1</v>
      </c>
      <c r="D263" s="52">
        <v>0</v>
      </c>
      <c r="E263" s="53">
        <v>1</v>
      </c>
      <c r="F263" s="120">
        <v>15</v>
      </c>
    </row>
    <row r="264" spans="1:6" s="50" customFormat="1" ht="12.75">
      <c r="A264" s="118" t="s">
        <v>155</v>
      </c>
      <c r="B264" s="119">
        <v>1</v>
      </c>
      <c r="C264" s="52">
        <v>0</v>
      </c>
      <c r="D264" s="52">
        <v>0</v>
      </c>
      <c r="E264" s="53">
        <v>1</v>
      </c>
      <c r="F264" s="120">
        <v>36</v>
      </c>
    </row>
    <row r="265" spans="1:6" s="50" customFormat="1" ht="12.75">
      <c r="A265" s="118" t="s">
        <v>156</v>
      </c>
      <c r="B265" s="119">
        <v>1</v>
      </c>
      <c r="C265" s="52">
        <v>0</v>
      </c>
      <c r="D265" s="52">
        <v>1</v>
      </c>
      <c r="E265" s="53">
        <v>2</v>
      </c>
      <c r="F265" s="120">
        <v>46</v>
      </c>
    </row>
    <row r="266" spans="1:6" s="50" customFormat="1" ht="12.75">
      <c r="A266" s="118" t="s">
        <v>404</v>
      </c>
      <c r="B266" s="119">
        <v>0</v>
      </c>
      <c r="C266" s="52">
        <v>0</v>
      </c>
      <c r="D266" s="52">
        <v>1</v>
      </c>
      <c r="E266" s="53">
        <v>1</v>
      </c>
      <c r="F266" s="120">
        <v>10</v>
      </c>
    </row>
    <row r="267" spans="1:8" s="10" customFormat="1" ht="30" customHeight="1">
      <c r="A267" s="33" t="s">
        <v>226</v>
      </c>
      <c r="B267" s="22">
        <f>SUM(B247:B266)</f>
        <v>40</v>
      </c>
      <c r="C267" s="22">
        <f>SUM(C247:C266)</f>
        <v>3</v>
      </c>
      <c r="D267" s="22">
        <f>SUM(D247:D266)</f>
        <v>19</v>
      </c>
      <c r="E267" s="22">
        <f>SUM(E247:E266)</f>
        <v>62</v>
      </c>
      <c r="F267" s="22">
        <f>SUM(F247:F266)</f>
        <v>2078</v>
      </c>
      <c r="H267" s="11"/>
    </row>
    <row r="268" spans="7:8" s="50" customFormat="1" ht="12.75">
      <c r="G268" s="11"/>
      <c r="H268" s="11"/>
    </row>
    <row r="269" spans="1:8" s="13" customFormat="1" ht="10.5">
      <c r="A269" s="13" t="s">
        <v>157</v>
      </c>
      <c r="H269" s="11"/>
    </row>
    <row r="270" s="50" customFormat="1" ht="12.75">
      <c r="H270" s="11"/>
    </row>
    <row r="271" s="50" customFormat="1" ht="12.75">
      <c r="H271" s="11"/>
    </row>
    <row r="272" spans="1:6" s="11" customFormat="1" ht="60.75" customHeight="1">
      <c r="A272" s="24" t="s">
        <v>440</v>
      </c>
      <c r="B272" s="248" t="s">
        <v>413</v>
      </c>
      <c r="C272" s="249"/>
      <c r="D272" s="249"/>
      <c r="E272" s="249"/>
      <c r="F272" s="250"/>
    </row>
    <row r="273" spans="1:6" s="11" customFormat="1" ht="28.5" customHeight="1">
      <c r="A273" s="251" t="s">
        <v>269</v>
      </c>
      <c r="B273" s="246" t="s">
        <v>260</v>
      </c>
      <c r="C273" s="246"/>
      <c r="D273" s="246"/>
      <c r="E273" s="243" t="s">
        <v>261</v>
      </c>
      <c r="F273" s="247" t="s">
        <v>263</v>
      </c>
    </row>
    <row r="274" spans="1:6" s="11" customFormat="1" ht="28.5" customHeight="1">
      <c r="A274" s="251"/>
      <c r="B274" s="18" t="s">
        <v>265</v>
      </c>
      <c r="C274" s="18" t="s">
        <v>267</v>
      </c>
      <c r="D274" s="18" t="s">
        <v>266</v>
      </c>
      <c r="E274" s="244"/>
      <c r="F274" s="247"/>
    </row>
    <row r="275" spans="1:8" s="50" customFormat="1" ht="12.75">
      <c r="A275" s="118" t="s">
        <v>337</v>
      </c>
      <c r="B275" s="119">
        <v>1</v>
      </c>
      <c r="C275" s="52">
        <v>0</v>
      </c>
      <c r="D275" s="52">
        <v>1</v>
      </c>
      <c r="E275" s="53">
        <v>2</v>
      </c>
      <c r="F275" s="120">
        <v>107</v>
      </c>
      <c r="H275" s="11"/>
    </row>
    <row r="276" spans="1:8" s="50" customFormat="1" ht="12.75">
      <c r="A276" s="118" t="s">
        <v>338</v>
      </c>
      <c r="B276" s="119">
        <v>2</v>
      </c>
      <c r="C276" s="52">
        <v>0</v>
      </c>
      <c r="D276" s="52">
        <v>1</v>
      </c>
      <c r="E276" s="53">
        <v>3</v>
      </c>
      <c r="F276" s="120">
        <v>121</v>
      </c>
      <c r="H276" s="11"/>
    </row>
    <row r="277" spans="1:8" s="50" customFormat="1" ht="12.75">
      <c r="A277" s="118" t="s">
        <v>143</v>
      </c>
      <c r="B277" s="119">
        <v>0</v>
      </c>
      <c r="C277" s="52">
        <v>0</v>
      </c>
      <c r="D277" s="52">
        <v>1</v>
      </c>
      <c r="E277" s="53">
        <v>1</v>
      </c>
      <c r="F277" s="120">
        <v>19</v>
      </c>
      <c r="H277" s="11"/>
    </row>
    <row r="278" spans="1:8" s="50" customFormat="1" ht="12.75">
      <c r="A278" s="118" t="s">
        <v>142</v>
      </c>
      <c r="B278" s="119">
        <v>1</v>
      </c>
      <c r="C278" s="52">
        <v>0</v>
      </c>
      <c r="D278" s="52">
        <v>1</v>
      </c>
      <c r="E278" s="53">
        <v>2</v>
      </c>
      <c r="F278" s="120">
        <v>43</v>
      </c>
      <c r="H278" s="11"/>
    </row>
    <row r="279" spans="1:8" s="50" customFormat="1" ht="12.75">
      <c r="A279" s="118" t="s">
        <v>237</v>
      </c>
      <c r="B279" s="119">
        <v>1</v>
      </c>
      <c r="C279" s="52">
        <v>0</v>
      </c>
      <c r="D279" s="52">
        <v>0</v>
      </c>
      <c r="E279" s="53">
        <v>1</v>
      </c>
      <c r="F279" s="120">
        <v>25</v>
      </c>
      <c r="H279" s="11"/>
    </row>
    <row r="280" spans="1:8" s="50" customFormat="1" ht="12.75">
      <c r="A280" s="118" t="s">
        <v>140</v>
      </c>
      <c r="B280" s="119">
        <v>1</v>
      </c>
      <c r="C280" s="52">
        <v>0</v>
      </c>
      <c r="D280" s="52">
        <v>0</v>
      </c>
      <c r="E280" s="53">
        <v>1</v>
      </c>
      <c r="F280" s="120">
        <v>48</v>
      </c>
      <c r="H280" s="11"/>
    </row>
    <row r="281" spans="1:8" s="50" customFormat="1" ht="12.75">
      <c r="A281" s="118" t="s">
        <v>339</v>
      </c>
      <c r="B281" s="119">
        <v>1</v>
      </c>
      <c r="C281" s="52">
        <v>0</v>
      </c>
      <c r="D281" s="52">
        <v>1</v>
      </c>
      <c r="E281" s="53">
        <v>2</v>
      </c>
      <c r="F281" s="120">
        <v>87</v>
      </c>
      <c r="H281" s="11"/>
    </row>
    <row r="282" spans="1:8" s="50" customFormat="1" ht="12.75">
      <c r="A282" s="118" t="s">
        <v>236</v>
      </c>
      <c r="B282" s="119">
        <v>2</v>
      </c>
      <c r="C282" s="52">
        <v>0</v>
      </c>
      <c r="D282" s="52">
        <v>0</v>
      </c>
      <c r="E282" s="53">
        <v>2</v>
      </c>
      <c r="F282" s="120">
        <v>83</v>
      </c>
      <c r="H282" s="11"/>
    </row>
    <row r="283" spans="1:8" s="50" customFormat="1" ht="12.75">
      <c r="A283" s="118" t="s">
        <v>235</v>
      </c>
      <c r="B283" s="119">
        <v>1</v>
      </c>
      <c r="C283" s="52">
        <v>0</v>
      </c>
      <c r="D283" s="52">
        <v>0</v>
      </c>
      <c r="E283" s="53">
        <v>1</v>
      </c>
      <c r="F283" s="120">
        <v>36</v>
      </c>
      <c r="H283" s="11"/>
    </row>
    <row r="284" spans="1:8" s="50" customFormat="1" ht="12.75">
      <c r="A284" s="118" t="s">
        <v>139</v>
      </c>
      <c r="B284" s="119">
        <v>5</v>
      </c>
      <c r="C284" s="52">
        <v>0</v>
      </c>
      <c r="D284" s="52">
        <v>2</v>
      </c>
      <c r="E284" s="53">
        <v>7</v>
      </c>
      <c r="F284" s="120">
        <v>311</v>
      </c>
      <c r="H284" s="11"/>
    </row>
    <row r="285" spans="1:8" s="50" customFormat="1" ht="12.75">
      <c r="A285" s="118" t="s">
        <v>234</v>
      </c>
      <c r="B285" s="119">
        <v>1</v>
      </c>
      <c r="C285" s="52">
        <v>0</v>
      </c>
      <c r="D285" s="52">
        <v>0</v>
      </c>
      <c r="E285" s="53">
        <v>1</v>
      </c>
      <c r="F285" s="120">
        <v>53</v>
      </c>
      <c r="H285" s="11"/>
    </row>
    <row r="286" spans="1:8" s="50" customFormat="1" ht="12.75">
      <c r="A286" s="118" t="s">
        <v>233</v>
      </c>
      <c r="B286" s="119">
        <v>4</v>
      </c>
      <c r="C286" s="52">
        <v>0</v>
      </c>
      <c r="D286" s="52">
        <v>4</v>
      </c>
      <c r="E286" s="53">
        <v>8</v>
      </c>
      <c r="F286" s="120">
        <v>282</v>
      </c>
      <c r="H286" s="11"/>
    </row>
    <row r="287" spans="1:8" s="50" customFormat="1" ht="12.75">
      <c r="A287" s="118" t="s">
        <v>232</v>
      </c>
      <c r="B287" s="119">
        <v>1</v>
      </c>
      <c r="C287" s="52">
        <v>0</v>
      </c>
      <c r="D287" s="52">
        <v>2</v>
      </c>
      <c r="E287" s="53">
        <v>3</v>
      </c>
      <c r="F287" s="120">
        <v>95</v>
      </c>
      <c r="H287" s="11"/>
    </row>
    <row r="288" spans="1:8" s="50" customFormat="1" ht="12.75">
      <c r="A288" s="118" t="s">
        <v>256</v>
      </c>
      <c r="B288" s="119">
        <v>17</v>
      </c>
      <c r="C288" s="52">
        <v>6</v>
      </c>
      <c r="D288" s="52">
        <v>12</v>
      </c>
      <c r="E288" s="53">
        <v>35</v>
      </c>
      <c r="F288" s="120">
        <v>1009</v>
      </c>
      <c r="H288" s="11"/>
    </row>
    <row r="289" spans="1:8" s="50" customFormat="1" ht="12.75">
      <c r="A289" s="118" t="s">
        <v>231</v>
      </c>
      <c r="B289" s="119">
        <v>1</v>
      </c>
      <c r="C289" s="52">
        <v>0</v>
      </c>
      <c r="D289" s="52">
        <v>0</v>
      </c>
      <c r="E289" s="53">
        <v>1</v>
      </c>
      <c r="F289" s="120">
        <v>28</v>
      </c>
      <c r="H289" s="11"/>
    </row>
    <row r="290" spans="1:8" s="50" customFormat="1" ht="12.75">
      <c r="A290" s="118" t="s">
        <v>340</v>
      </c>
      <c r="B290" s="119">
        <v>1</v>
      </c>
      <c r="C290" s="52">
        <v>0</v>
      </c>
      <c r="D290" s="52">
        <v>2</v>
      </c>
      <c r="E290" s="53">
        <v>3</v>
      </c>
      <c r="F290" s="120">
        <v>101</v>
      </c>
      <c r="H290" s="11"/>
    </row>
    <row r="291" spans="1:8" s="50" customFormat="1" ht="12.75">
      <c r="A291" s="118" t="s">
        <v>138</v>
      </c>
      <c r="B291" s="119">
        <v>1</v>
      </c>
      <c r="C291" s="52">
        <v>0</v>
      </c>
      <c r="D291" s="52">
        <v>0</v>
      </c>
      <c r="E291" s="53">
        <v>1</v>
      </c>
      <c r="F291" s="120">
        <v>43</v>
      </c>
      <c r="H291" s="11"/>
    </row>
    <row r="292" spans="1:8" s="50" customFormat="1" ht="12.75">
      <c r="A292" s="118" t="s">
        <v>238</v>
      </c>
      <c r="B292" s="119">
        <v>1</v>
      </c>
      <c r="C292" s="52">
        <v>0</v>
      </c>
      <c r="D292" s="52">
        <v>0</v>
      </c>
      <c r="E292" s="53">
        <v>1</v>
      </c>
      <c r="F292" s="120">
        <v>40</v>
      </c>
      <c r="H292" s="11"/>
    </row>
    <row r="293" spans="1:8" s="10" customFormat="1" ht="30" customHeight="1">
      <c r="A293" s="33" t="s">
        <v>182</v>
      </c>
      <c r="B293" s="22">
        <f>SUM(B275:B292)</f>
        <v>42</v>
      </c>
      <c r="C293" s="22">
        <f>SUM(C275:C292)</f>
        <v>6</v>
      </c>
      <c r="D293" s="22">
        <f>SUM(D275:D292)</f>
        <v>27</v>
      </c>
      <c r="E293" s="22">
        <f>SUM(E275:E292)</f>
        <v>75</v>
      </c>
      <c r="F293" s="22">
        <f>SUM(F275:F292)</f>
        <v>2531</v>
      </c>
      <c r="H293" s="50"/>
    </row>
    <row r="294" s="50" customFormat="1" ht="12.75"/>
    <row r="295" s="114" customFormat="1" ht="12.75">
      <c r="A295" s="12" t="s">
        <v>435</v>
      </c>
    </row>
    <row r="296" s="50" customFormat="1" ht="12.75"/>
    <row r="297" spans="1:6" s="11" customFormat="1" ht="60.75" customHeight="1">
      <c r="A297" s="24" t="s">
        <v>440</v>
      </c>
      <c r="B297" s="248" t="s">
        <v>422</v>
      </c>
      <c r="C297" s="249"/>
      <c r="D297" s="249"/>
      <c r="E297" s="249"/>
      <c r="F297" s="250"/>
    </row>
    <row r="298" spans="1:6" s="11" customFormat="1" ht="28.5" customHeight="1">
      <c r="A298" s="251" t="s">
        <v>269</v>
      </c>
      <c r="B298" s="246" t="s">
        <v>260</v>
      </c>
      <c r="C298" s="246"/>
      <c r="D298" s="246"/>
      <c r="E298" s="243" t="s">
        <v>261</v>
      </c>
      <c r="F298" s="247" t="s">
        <v>263</v>
      </c>
    </row>
    <row r="299" spans="1:6" s="11" customFormat="1" ht="28.5" customHeight="1">
      <c r="A299" s="251"/>
      <c r="B299" s="18" t="s">
        <v>265</v>
      </c>
      <c r="C299" s="18" t="s">
        <v>267</v>
      </c>
      <c r="D299" s="18" t="s">
        <v>266</v>
      </c>
      <c r="E299" s="244"/>
      <c r="F299" s="247"/>
    </row>
    <row r="300" spans="1:8" s="50" customFormat="1" ht="12.75">
      <c r="A300" s="118" t="s">
        <v>341</v>
      </c>
      <c r="B300" s="119">
        <v>0</v>
      </c>
      <c r="C300" s="52">
        <v>0</v>
      </c>
      <c r="D300" s="52">
        <v>2</v>
      </c>
      <c r="E300" s="53">
        <v>2</v>
      </c>
      <c r="F300" s="120">
        <v>48</v>
      </c>
      <c r="H300" s="11"/>
    </row>
    <row r="301" spans="1:8" s="50" customFormat="1" ht="12.75">
      <c r="A301" s="118" t="s">
        <v>174</v>
      </c>
      <c r="B301" s="119">
        <v>0</v>
      </c>
      <c r="C301" s="52">
        <v>2</v>
      </c>
      <c r="D301" s="52">
        <v>1</v>
      </c>
      <c r="E301" s="53">
        <v>3</v>
      </c>
      <c r="F301" s="120">
        <v>62</v>
      </c>
      <c r="H301" s="11"/>
    </row>
    <row r="302" spans="1:8" s="50" customFormat="1" ht="12.75">
      <c r="A302" s="118" t="s">
        <v>418</v>
      </c>
      <c r="B302" s="119">
        <v>0</v>
      </c>
      <c r="C302" s="52">
        <v>1</v>
      </c>
      <c r="D302" s="52">
        <v>0</v>
      </c>
      <c r="E302" s="53">
        <v>1</v>
      </c>
      <c r="F302" s="120">
        <v>16</v>
      </c>
      <c r="H302" s="11"/>
    </row>
    <row r="303" spans="1:8" s="50" customFormat="1" ht="21.75">
      <c r="A303" s="118" t="s">
        <v>153</v>
      </c>
      <c r="B303" s="119">
        <v>1</v>
      </c>
      <c r="C303" s="52">
        <v>0</v>
      </c>
      <c r="D303" s="52">
        <v>2</v>
      </c>
      <c r="E303" s="53">
        <v>3</v>
      </c>
      <c r="F303" s="120">
        <v>58</v>
      </c>
      <c r="H303" s="11"/>
    </row>
    <row r="304" spans="1:8" s="50" customFormat="1" ht="12.75">
      <c r="A304" s="118" t="s">
        <v>152</v>
      </c>
      <c r="B304" s="119">
        <v>14</v>
      </c>
      <c r="C304" s="52">
        <v>0</v>
      </c>
      <c r="D304" s="52">
        <v>2</v>
      </c>
      <c r="E304" s="53">
        <v>16</v>
      </c>
      <c r="F304" s="120">
        <v>609</v>
      </c>
      <c r="H304" s="11"/>
    </row>
    <row r="305" spans="1:8" s="50" customFormat="1" ht="12.75">
      <c r="A305" s="118" t="s">
        <v>151</v>
      </c>
      <c r="B305" s="119">
        <v>3</v>
      </c>
      <c r="C305" s="52">
        <v>1</v>
      </c>
      <c r="D305" s="52">
        <v>1</v>
      </c>
      <c r="E305" s="53">
        <v>5</v>
      </c>
      <c r="F305" s="120">
        <v>142</v>
      </c>
      <c r="H305" s="11"/>
    </row>
    <row r="306" spans="1:8" s="50" customFormat="1" ht="12.75">
      <c r="A306" s="118" t="s">
        <v>179</v>
      </c>
      <c r="B306" s="119">
        <v>0</v>
      </c>
      <c r="C306" s="52">
        <v>0</v>
      </c>
      <c r="D306" s="52">
        <v>2</v>
      </c>
      <c r="E306" s="53">
        <v>2</v>
      </c>
      <c r="F306" s="120">
        <v>24</v>
      </c>
      <c r="H306" s="11"/>
    </row>
    <row r="307" spans="1:8" s="50" customFormat="1" ht="12.75">
      <c r="A307" s="118" t="s">
        <v>150</v>
      </c>
      <c r="B307" s="119">
        <v>11</v>
      </c>
      <c r="C307" s="52">
        <v>2</v>
      </c>
      <c r="D307" s="52">
        <v>8</v>
      </c>
      <c r="E307" s="53">
        <v>21</v>
      </c>
      <c r="F307" s="120">
        <v>798</v>
      </c>
      <c r="H307" s="11"/>
    </row>
    <row r="308" spans="1:8" s="50" customFormat="1" ht="12.75">
      <c r="A308" s="118" t="s">
        <v>149</v>
      </c>
      <c r="B308" s="119">
        <v>2</v>
      </c>
      <c r="C308" s="52">
        <v>0</v>
      </c>
      <c r="D308" s="52">
        <v>1</v>
      </c>
      <c r="E308" s="53">
        <v>3</v>
      </c>
      <c r="F308" s="120">
        <v>86</v>
      </c>
      <c r="H308" s="11"/>
    </row>
    <row r="309" spans="1:8" s="50" customFormat="1" ht="12.75">
      <c r="A309" s="118" t="s">
        <v>181</v>
      </c>
      <c r="B309" s="119">
        <v>0</v>
      </c>
      <c r="C309" s="52">
        <v>0</v>
      </c>
      <c r="D309" s="52">
        <v>1</v>
      </c>
      <c r="E309" s="53">
        <v>1</v>
      </c>
      <c r="F309" s="120">
        <v>11</v>
      </c>
      <c r="H309" s="11"/>
    </row>
    <row r="310" spans="1:8" s="50" customFormat="1" ht="12.75">
      <c r="A310" s="118" t="s">
        <v>148</v>
      </c>
      <c r="B310" s="119">
        <v>1</v>
      </c>
      <c r="C310" s="52">
        <v>0</v>
      </c>
      <c r="D310" s="52">
        <v>0</v>
      </c>
      <c r="E310" s="53">
        <v>1</v>
      </c>
      <c r="F310" s="120">
        <v>44</v>
      </c>
      <c r="H310" s="11"/>
    </row>
    <row r="311" spans="1:8" s="50" customFormat="1" ht="12.75">
      <c r="A311" s="118" t="s">
        <v>147</v>
      </c>
      <c r="B311" s="119">
        <v>1</v>
      </c>
      <c r="C311" s="52">
        <v>0</v>
      </c>
      <c r="D311" s="52">
        <v>1</v>
      </c>
      <c r="E311" s="53">
        <v>2</v>
      </c>
      <c r="F311" s="120">
        <v>38</v>
      </c>
      <c r="H311" s="11"/>
    </row>
    <row r="312" spans="1:8" s="50" customFormat="1" ht="12.75">
      <c r="A312" s="118" t="s">
        <v>173</v>
      </c>
      <c r="B312" s="119">
        <v>1</v>
      </c>
      <c r="C312" s="52">
        <v>0</v>
      </c>
      <c r="D312" s="52">
        <v>0</v>
      </c>
      <c r="E312" s="53">
        <v>1</v>
      </c>
      <c r="F312" s="120">
        <v>34</v>
      </c>
      <c r="H312" s="11"/>
    </row>
    <row r="313" spans="1:8" s="50" customFormat="1" ht="12.75">
      <c r="A313" s="118" t="s">
        <v>146</v>
      </c>
      <c r="B313" s="119">
        <v>1</v>
      </c>
      <c r="C313" s="52">
        <v>0</v>
      </c>
      <c r="D313" s="52">
        <v>1</v>
      </c>
      <c r="E313" s="53">
        <v>2</v>
      </c>
      <c r="F313" s="120">
        <v>66</v>
      </c>
      <c r="H313" s="11"/>
    </row>
    <row r="314" spans="1:8" s="50" customFormat="1" ht="12.75">
      <c r="A314" s="118" t="s">
        <v>178</v>
      </c>
      <c r="B314" s="119">
        <v>0</v>
      </c>
      <c r="C314" s="52">
        <v>1</v>
      </c>
      <c r="D314" s="52">
        <v>0</v>
      </c>
      <c r="E314" s="53">
        <v>1</v>
      </c>
      <c r="F314" s="120">
        <v>14</v>
      </c>
      <c r="H314" s="11"/>
    </row>
    <row r="315" spans="1:8" s="50" customFormat="1" ht="12.75">
      <c r="A315" s="118" t="s">
        <v>172</v>
      </c>
      <c r="B315" s="119">
        <v>1</v>
      </c>
      <c r="C315" s="52">
        <v>0</v>
      </c>
      <c r="D315" s="52">
        <v>1</v>
      </c>
      <c r="E315" s="53">
        <v>2</v>
      </c>
      <c r="F315" s="120">
        <v>38</v>
      </c>
      <c r="H315" s="11"/>
    </row>
    <row r="316" spans="1:8" s="50" customFormat="1" ht="12.75">
      <c r="A316" s="118" t="s">
        <v>177</v>
      </c>
      <c r="B316" s="119">
        <v>0</v>
      </c>
      <c r="C316" s="52">
        <v>0</v>
      </c>
      <c r="D316" s="52">
        <v>1</v>
      </c>
      <c r="E316" s="53">
        <v>1</v>
      </c>
      <c r="F316" s="120">
        <v>7</v>
      </c>
      <c r="H316" s="11"/>
    </row>
    <row r="317" spans="1:8" s="50" customFormat="1" ht="12.75">
      <c r="A317" s="118" t="s">
        <v>171</v>
      </c>
      <c r="B317" s="119">
        <v>1</v>
      </c>
      <c r="C317" s="52">
        <v>0</v>
      </c>
      <c r="D317" s="52">
        <v>0</v>
      </c>
      <c r="E317" s="53">
        <v>1</v>
      </c>
      <c r="F317" s="120">
        <v>20</v>
      </c>
      <c r="H317" s="11"/>
    </row>
    <row r="318" spans="1:8" s="50" customFormat="1" ht="12.75">
      <c r="A318" s="118" t="s">
        <v>176</v>
      </c>
      <c r="B318" s="119">
        <v>0</v>
      </c>
      <c r="C318" s="52">
        <v>0</v>
      </c>
      <c r="D318" s="52">
        <v>1</v>
      </c>
      <c r="E318" s="53">
        <v>1</v>
      </c>
      <c r="F318" s="120">
        <v>13</v>
      </c>
      <c r="H318" s="11"/>
    </row>
    <row r="319" spans="1:8" s="50" customFormat="1" ht="12.75">
      <c r="A319" s="118" t="s">
        <v>145</v>
      </c>
      <c r="B319" s="119">
        <v>1</v>
      </c>
      <c r="C319" s="52">
        <v>0</v>
      </c>
      <c r="D319" s="52">
        <v>0</v>
      </c>
      <c r="E319" s="53">
        <v>1</v>
      </c>
      <c r="F319" s="120">
        <v>39</v>
      </c>
      <c r="H319" s="11"/>
    </row>
    <row r="320" spans="1:8" s="50" customFormat="1" ht="12.75">
      <c r="A320" s="118" t="s">
        <v>170</v>
      </c>
      <c r="B320" s="119">
        <v>1</v>
      </c>
      <c r="C320" s="52">
        <v>0</v>
      </c>
      <c r="D320" s="52">
        <v>0</v>
      </c>
      <c r="E320" s="53">
        <v>1</v>
      </c>
      <c r="F320" s="120">
        <v>18</v>
      </c>
      <c r="H320" s="11"/>
    </row>
    <row r="321" spans="1:8" s="50" customFormat="1" ht="12.75">
      <c r="A321" s="118" t="s">
        <v>175</v>
      </c>
      <c r="B321" s="119">
        <v>0</v>
      </c>
      <c r="C321" s="52">
        <v>0</v>
      </c>
      <c r="D321" s="52">
        <v>1</v>
      </c>
      <c r="E321" s="53">
        <v>1</v>
      </c>
      <c r="F321" s="120">
        <v>11</v>
      </c>
      <c r="H321" s="11"/>
    </row>
    <row r="322" spans="1:8" s="50" customFormat="1" ht="12.75">
      <c r="A322" s="118" t="s">
        <v>144</v>
      </c>
      <c r="B322" s="119">
        <v>1</v>
      </c>
      <c r="C322" s="52">
        <v>0</v>
      </c>
      <c r="D322" s="52">
        <v>0</v>
      </c>
      <c r="E322" s="53">
        <v>1</v>
      </c>
      <c r="F322" s="120">
        <v>62</v>
      </c>
      <c r="H322" s="11"/>
    </row>
    <row r="323" spans="1:8" s="50" customFormat="1" ht="12.75">
      <c r="A323" s="118" t="s">
        <v>180</v>
      </c>
      <c r="B323" s="119">
        <v>0</v>
      </c>
      <c r="C323" s="52">
        <v>1</v>
      </c>
      <c r="D323" s="52">
        <v>0</v>
      </c>
      <c r="E323" s="53">
        <v>1</v>
      </c>
      <c r="F323" s="120">
        <v>13</v>
      </c>
      <c r="H323" s="11"/>
    </row>
    <row r="324" spans="1:8" s="10" customFormat="1" ht="30" customHeight="1">
      <c r="A324" s="33" t="s">
        <v>183</v>
      </c>
      <c r="B324" s="22">
        <f>SUM(B300:B323)</f>
        <v>40</v>
      </c>
      <c r="C324" s="22">
        <f>SUM(C300:C323)</f>
        <v>8</v>
      </c>
      <c r="D324" s="22">
        <f>SUM(D300:D323)</f>
        <v>26</v>
      </c>
      <c r="E324" s="22">
        <f>SUM(E300:E323)</f>
        <v>74</v>
      </c>
      <c r="F324" s="22">
        <f>SUM(F300:F323)</f>
        <v>2271</v>
      </c>
      <c r="H324" s="50"/>
    </row>
    <row r="325" s="50" customFormat="1" ht="12.75"/>
    <row r="326" s="12" customFormat="1" ht="10.5" customHeight="1">
      <c r="A326" s="12" t="s">
        <v>436</v>
      </c>
    </row>
    <row r="327" s="50" customFormat="1" ht="12.75"/>
    <row r="328" spans="1:6" s="11" customFormat="1" ht="60.75" customHeight="1">
      <c r="A328" s="24" t="s">
        <v>440</v>
      </c>
      <c r="B328" s="248" t="s">
        <v>421</v>
      </c>
      <c r="C328" s="249"/>
      <c r="D328" s="249"/>
      <c r="E328" s="249"/>
      <c r="F328" s="250"/>
    </row>
    <row r="329" spans="1:6" s="11" customFormat="1" ht="28.5" customHeight="1">
      <c r="A329" s="251" t="s">
        <v>269</v>
      </c>
      <c r="B329" s="246" t="s">
        <v>260</v>
      </c>
      <c r="C329" s="246"/>
      <c r="D329" s="246"/>
      <c r="E329" s="243" t="s">
        <v>261</v>
      </c>
      <c r="F329" s="247" t="s">
        <v>263</v>
      </c>
    </row>
    <row r="330" spans="1:6" s="11" customFormat="1" ht="28.5" customHeight="1">
      <c r="A330" s="251"/>
      <c r="B330" s="18" t="s">
        <v>265</v>
      </c>
      <c r="C330" s="18" t="s">
        <v>267</v>
      </c>
      <c r="D330" s="18" t="s">
        <v>266</v>
      </c>
      <c r="E330" s="244"/>
      <c r="F330" s="247"/>
    </row>
    <row r="331" spans="1:8" ht="12.75">
      <c r="A331" s="29" t="s">
        <v>342</v>
      </c>
      <c r="B331" s="31">
        <v>1</v>
      </c>
      <c r="C331" s="26">
        <v>0</v>
      </c>
      <c r="D331" s="26">
        <v>0</v>
      </c>
      <c r="E331" s="27">
        <v>1</v>
      </c>
      <c r="F331" s="28">
        <v>78</v>
      </c>
      <c r="H331" s="11"/>
    </row>
    <row r="332" spans="1:8" ht="12.75">
      <c r="A332" s="29" t="s">
        <v>343</v>
      </c>
      <c r="B332" s="31">
        <v>1</v>
      </c>
      <c r="C332" s="26">
        <v>0</v>
      </c>
      <c r="D332" s="26">
        <v>0</v>
      </c>
      <c r="E332" s="27">
        <v>1</v>
      </c>
      <c r="F332" s="28">
        <v>80</v>
      </c>
      <c r="H332" s="11"/>
    </row>
    <row r="333" spans="1:8" ht="12.75">
      <c r="A333" s="29" t="s">
        <v>344</v>
      </c>
      <c r="B333" s="31">
        <v>1</v>
      </c>
      <c r="C333" s="26">
        <v>0</v>
      </c>
      <c r="D333" s="26">
        <v>0</v>
      </c>
      <c r="E333" s="27">
        <v>1</v>
      </c>
      <c r="F333" s="28">
        <v>22</v>
      </c>
      <c r="H333" s="11"/>
    </row>
    <row r="334" spans="1:8" ht="12.75">
      <c r="A334" s="29" t="s">
        <v>345</v>
      </c>
      <c r="B334" s="31">
        <v>1</v>
      </c>
      <c r="C334" s="26">
        <v>0</v>
      </c>
      <c r="D334" s="26">
        <v>0</v>
      </c>
      <c r="E334" s="27">
        <v>1</v>
      </c>
      <c r="F334" s="28">
        <v>62</v>
      </c>
      <c r="H334" s="11"/>
    </row>
    <row r="335" spans="1:8" ht="12.75">
      <c r="A335" s="29" t="s">
        <v>346</v>
      </c>
      <c r="B335" s="31">
        <v>0</v>
      </c>
      <c r="C335" s="26">
        <v>1</v>
      </c>
      <c r="D335" s="26">
        <v>0</v>
      </c>
      <c r="E335" s="27">
        <v>1</v>
      </c>
      <c r="F335" s="28">
        <v>9</v>
      </c>
      <c r="H335" s="11"/>
    </row>
    <row r="336" spans="1:8" ht="12.75">
      <c r="A336" s="29" t="s">
        <v>347</v>
      </c>
      <c r="B336" s="31">
        <v>1</v>
      </c>
      <c r="C336" s="26">
        <v>0</v>
      </c>
      <c r="D336" s="26">
        <v>0</v>
      </c>
      <c r="E336" s="27">
        <v>1</v>
      </c>
      <c r="F336" s="28">
        <v>38</v>
      </c>
      <c r="H336" s="11"/>
    </row>
    <row r="337" spans="1:8" ht="12.75">
      <c r="A337" s="29" t="s">
        <v>352</v>
      </c>
      <c r="B337" s="31">
        <v>1</v>
      </c>
      <c r="C337" s="26">
        <v>0</v>
      </c>
      <c r="D337" s="26">
        <v>0</v>
      </c>
      <c r="E337" s="27">
        <v>1</v>
      </c>
      <c r="F337" s="28">
        <v>21</v>
      </c>
      <c r="H337" s="11"/>
    </row>
    <row r="338" spans="1:8" ht="12.75">
      <c r="A338" s="29" t="s">
        <v>348</v>
      </c>
      <c r="B338" s="31">
        <v>4</v>
      </c>
      <c r="C338" s="26">
        <v>0</v>
      </c>
      <c r="D338" s="26">
        <v>0</v>
      </c>
      <c r="E338" s="27">
        <v>4</v>
      </c>
      <c r="F338" s="28">
        <v>235</v>
      </c>
      <c r="H338" s="11"/>
    </row>
    <row r="339" spans="1:8" ht="12.75">
      <c r="A339" s="29" t="s">
        <v>258</v>
      </c>
      <c r="B339" s="31">
        <v>12</v>
      </c>
      <c r="C339" s="26">
        <v>1</v>
      </c>
      <c r="D339" s="26">
        <v>2</v>
      </c>
      <c r="E339" s="27">
        <v>15</v>
      </c>
      <c r="F339" s="28">
        <v>555</v>
      </c>
      <c r="H339" s="11"/>
    </row>
    <row r="340" spans="1:8" ht="12.75">
      <c r="A340" s="29" t="s">
        <v>349</v>
      </c>
      <c r="B340" s="31">
        <v>1</v>
      </c>
      <c r="C340" s="26">
        <v>0</v>
      </c>
      <c r="D340" s="26">
        <v>0</v>
      </c>
      <c r="E340" s="27">
        <v>1</v>
      </c>
      <c r="F340" s="28">
        <v>45</v>
      </c>
      <c r="H340" s="11"/>
    </row>
    <row r="341" spans="1:8" ht="12.75">
      <c r="A341" s="29" t="s">
        <v>350</v>
      </c>
      <c r="B341" s="31">
        <v>1</v>
      </c>
      <c r="C341" s="26">
        <v>0</v>
      </c>
      <c r="D341" s="26">
        <v>0</v>
      </c>
      <c r="E341" s="27">
        <v>1</v>
      </c>
      <c r="F341" s="28">
        <v>68</v>
      </c>
      <c r="H341" s="11"/>
    </row>
    <row r="342" spans="1:8" ht="12.75">
      <c r="A342" s="29" t="s">
        <v>351</v>
      </c>
      <c r="B342" s="31">
        <v>1</v>
      </c>
      <c r="C342" s="26">
        <v>0</v>
      </c>
      <c r="D342" s="26">
        <v>0</v>
      </c>
      <c r="E342" s="27">
        <v>1</v>
      </c>
      <c r="F342" s="28">
        <v>52</v>
      </c>
      <c r="H342" s="11"/>
    </row>
    <row r="343" spans="1:8" s="10" customFormat="1" ht="30" customHeight="1">
      <c r="A343" s="33" t="s">
        <v>184</v>
      </c>
      <c r="B343" s="22">
        <f>SUM(B331:B342)</f>
        <v>25</v>
      </c>
      <c r="C343" s="22">
        <f>SUM(C331:C342)</f>
        <v>2</v>
      </c>
      <c r="D343" s="22">
        <f>SUM(D331:D342)</f>
        <v>2</v>
      </c>
      <c r="E343" s="22">
        <f>SUM(E331:E342)</f>
        <v>29</v>
      </c>
      <c r="F343" s="22">
        <f>SUM(F331:F342)</f>
        <v>1265</v>
      </c>
      <c r="H343" s="19"/>
    </row>
    <row r="344" spans="1:8" s="10" customFormat="1" ht="30" customHeight="1">
      <c r="A344" s="116"/>
      <c r="B344" s="117"/>
      <c r="C344" s="117"/>
      <c r="D344" s="117"/>
      <c r="E344" s="117"/>
      <c r="F344" s="117"/>
      <c r="H344" s="19"/>
    </row>
    <row r="345" spans="1:8" ht="12.75">
      <c r="A345" s="12" t="s">
        <v>428</v>
      </c>
      <c r="G345" s="11"/>
      <c r="H345" s="11"/>
    </row>
    <row r="346" spans="1:5" s="114" customFormat="1" ht="12.75">
      <c r="A346" s="12" t="s">
        <v>437</v>
      </c>
      <c r="D346" s="11"/>
      <c r="E346" s="115"/>
    </row>
    <row r="347" spans="4:5" s="114" customFormat="1" ht="12.75">
      <c r="D347" s="11"/>
      <c r="E347" s="115"/>
    </row>
  </sheetData>
  <mergeCells count="54">
    <mergeCell ref="G3:G4"/>
    <mergeCell ref="H3:H4"/>
    <mergeCell ref="B188:F188"/>
    <mergeCell ref="B147:F147"/>
    <mergeCell ref="B3:D3"/>
    <mergeCell ref="A3:A4"/>
    <mergeCell ref="E3:E4"/>
    <mergeCell ref="F3:F4"/>
    <mergeCell ref="B75:F75"/>
    <mergeCell ref="A52:A53"/>
    <mergeCell ref="F52:F53"/>
    <mergeCell ref="B52:D52"/>
    <mergeCell ref="B51:F51"/>
    <mergeCell ref="A106:A107"/>
    <mergeCell ref="B106:D106"/>
    <mergeCell ref="F106:F107"/>
    <mergeCell ref="A76:A77"/>
    <mergeCell ref="B76:D76"/>
    <mergeCell ref="F76:F77"/>
    <mergeCell ref="E106:E107"/>
    <mergeCell ref="E76:E77"/>
    <mergeCell ref="A148:A149"/>
    <mergeCell ref="B148:D148"/>
    <mergeCell ref="F148:F149"/>
    <mergeCell ref="E189:E190"/>
    <mergeCell ref="E148:E149"/>
    <mergeCell ref="F245:F246"/>
    <mergeCell ref="B244:F244"/>
    <mergeCell ref="E245:E246"/>
    <mergeCell ref="A189:A190"/>
    <mergeCell ref="B189:D189"/>
    <mergeCell ref="F189:F190"/>
    <mergeCell ref="A241:F241"/>
    <mergeCell ref="A242:F242"/>
    <mergeCell ref="B1:H1"/>
    <mergeCell ref="B105:F105"/>
    <mergeCell ref="A329:A330"/>
    <mergeCell ref="B329:D329"/>
    <mergeCell ref="F329:F330"/>
    <mergeCell ref="A298:A299"/>
    <mergeCell ref="B298:D298"/>
    <mergeCell ref="B328:F328"/>
    <mergeCell ref="F298:F299"/>
    <mergeCell ref="A273:A274"/>
    <mergeCell ref="E329:E330"/>
    <mergeCell ref="A50:H50"/>
    <mergeCell ref="B273:D273"/>
    <mergeCell ref="F273:F274"/>
    <mergeCell ref="B272:F272"/>
    <mergeCell ref="E273:E274"/>
    <mergeCell ref="B297:F297"/>
    <mergeCell ref="E298:E299"/>
    <mergeCell ref="A245:A246"/>
    <mergeCell ref="B245:D24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headerFooter alignWithMargins="0">
    <oddFooter>&amp;C&amp;8&amp;P</oddFooter>
  </headerFooter>
  <rowBreaks count="8" manualBreakCount="8">
    <brk id="50" max="255" man="1"/>
    <brk id="74" max="255" man="1"/>
    <brk id="104" max="255" man="1"/>
    <brk id="146" max="255" man="1"/>
    <brk id="187" max="255" man="1"/>
    <brk id="270" max="255" man="1"/>
    <brk id="296" max="255" man="1"/>
    <brk id="3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4"/>
  <sheetViews>
    <sheetView zoomScale="75" zoomScaleNormal="75" workbookViewId="0" topLeftCell="A1">
      <selection activeCell="K25" sqref="K25"/>
    </sheetView>
  </sheetViews>
  <sheetFormatPr defaultColWidth="9.140625" defaultRowHeight="12.75"/>
  <cols>
    <col min="1" max="1" width="26.00390625" style="50" customWidth="1"/>
    <col min="2" max="2" width="8.00390625" style="50" customWidth="1"/>
    <col min="3" max="3" width="8.28125" style="50" customWidth="1"/>
    <col min="4" max="4" width="11.7109375" style="50" customWidth="1"/>
    <col min="5" max="5" width="9.28125" style="50" bestFit="1" customWidth="1"/>
    <col min="6" max="7" width="10.00390625" style="50" bestFit="1" customWidth="1"/>
    <col min="8" max="8" width="10.421875" style="50" customWidth="1"/>
    <col min="9" max="9" width="14.57421875" style="50" customWidth="1"/>
    <col min="10" max="16384" width="9.140625" style="50" customWidth="1"/>
  </cols>
  <sheetData>
    <row r="1" spans="1:8" s="2" customFormat="1" ht="51.75" customHeight="1">
      <c r="A1" s="1" t="s">
        <v>441</v>
      </c>
      <c r="B1" s="237" t="s">
        <v>375</v>
      </c>
      <c r="C1" s="238"/>
      <c r="D1" s="238"/>
      <c r="E1" s="238"/>
      <c r="F1" s="238"/>
      <c r="G1" s="238"/>
      <c r="H1" s="252"/>
    </row>
    <row r="3" spans="1:8" s="2" customFormat="1" ht="24" customHeight="1">
      <c r="A3" s="266" t="s">
        <v>185</v>
      </c>
      <c r="B3" s="265" t="s">
        <v>260</v>
      </c>
      <c r="C3" s="265"/>
      <c r="D3" s="265"/>
      <c r="E3" s="262" t="s">
        <v>261</v>
      </c>
      <c r="F3" s="262" t="s">
        <v>262</v>
      </c>
      <c r="G3" s="262" t="s">
        <v>263</v>
      </c>
      <c r="H3" s="262" t="s">
        <v>264</v>
      </c>
    </row>
    <row r="4" spans="1:8" s="2" customFormat="1" ht="33.75">
      <c r="A4" s="267"/>
      <c r="B4" s="5" t="s">
        <v>265</v>
      </c>
      <c r="C4" s="5" t="s">
        <v>267</v>
      </c>
      <c r="D4" s="5" t="s">
        <v>266</v>
      </c>
      <c r="E4" s="262"/>
      <c r="F4" s="262"/>
      <c r="G4" s="262"/>
      <c r="H4" s="262"/>
    </row>
    <row r="5" spans="1:8" s="42" customFormat="1" ht="12.75">
      <c r="A5" s="3" t="s">
        <v>250</v>
      </c>
      <c r="B5" s="39">
        <f>B62</f>
        <v>16</v>
      </c>
      <c r="C5" s="40">
        <f>C62</f>
        <v>0</v>
      </c>
      <c r="D5" s="40">
        <f>D62</f>
        <v>0</v>
      </c>
      <c r="E5" s="41">
        <f>E62</f>
        <v>16</v>
      </c>
      <c r="F5" s="47">
        <f>E5/$E$14*100</f>
        <v>4.123711340206185</v>
      </c>
      <c r="G5" s="39">
        <f>F62</f>
        <v>738</v>
      </c>
      <c r="H5" s="49">
        <f>G5/$G$14*100</f>
        <v>3.866911186795913</v>
      </c>
    </row>
    <row r="6" spans="1:8" s="42" customFormat="1" ht="12.75">
      <c r="A6" s="3" t="s">
        <v>251</v>
      </c>
      <c r="B6" s="39">
        <f>B83</f>
        <v>28</v>
      </c>
      <c r="C6" s="40">
        <f>C83</f>
        <v>2</v>
      </c>
      <c r="D6" s="40">
        <f>D83</f>
        <v>1</v>
      </c>
      <c r="E6" s="41">
        <f>E83</f>
        <v>31</v>
      </c>
      <c r="F6" s="47">
        <f aca="true" t="shared" si="0" ref="F6:F14">E6/$E$14*100</f>
        <v>7.989690721649484</v>
      </c>
      <c r="G6" s="39">
        <f>F83</f>
        <v>1592</v>
      </c>
      <c r="H6" s="49">
        <f aca="true" t="shared" si="1" ref="H6:H14">G6/$G$14*100</f>
        <v>8.341629552004191</v>
      </c>
    </row>
    <row r="7" spans="1:8" s="42" customFormat="1" ht="12.75">
      <c r="A7" s="3" t="s">
        <v>252</v>
      </c>
      <c r="B7" s="39">
        <f>B117</f>
        <v>45</v>
      </c>
      <c r="C7" s="40">
        <f>C117</f>
        <v>2</v>
      </c>
      <c r="D7" s="40">
        <f>D117</f>
        <v>1</v>
      </c>
      <c r="E7" s="41">
        <f>E117</f>
        <v>48</v>
      </c>
      <c r="F7" s="47">
        <f t="shared" si="0"/>
        <v>12.371134020618557</v>
      </c>
      <c r="G7" s="39">
        <f>F117</f>
        <v>2640</v>
      </c>
      <c r="H7" s="49">
        <f t="shared" si="1"/>
        <v>13.8328530259366</v>
      </c>
    </row>
    <row r="8" spans="1:8" s="42" customFormat="1" ht="12.75">
      <c r="A8" s="3" t="s">
        <v>253</v>
      </c>
      <c r="B8" s="39">
        <f>B154</f>
        <v>67</v>
      </c>
      <c r="C8" s="40">
        <f>C154</f>
        <v>1</v>
      </c>
      <c r="D8" s="40">
        <f>D154</f>
        <v>2</v>
      </c>
      <c r="E8" s="41">
        <f>E154</f>
        <v>70</v>
      </c>
      <c r="F8" s="47">
        <f t="shared" si="0"/>
        <v>18.04123711340206</v>
      </c>
      <c r="G8" s="39">
        <f>F154</f>
        <v>3331</v>
      </c>
      <c r="H8" s="49">
        <f t="shared" si="1"/>
        <v>17.4534975111344</v>
      </c>
    </row>
    <row r="9" spans="1:8" s="42" customFormat="1" ht="12.75">
      <c r="A9" s="3" t="s">
        <v>254</v>
      </c>
      <c r="B9" s="39">
        <f>B200</f>
        <v>121</v>
      </c>
      <c r="C9" s="40">
        <f>C200</f>
        <v>0</v>
      </c>
      <c r="D9" s="40">
        <f>D200</f>
        <v>0</v>
      </c>
      <c r="E9" s="41">
        <f>E200</f>
        <v>121</v>
      </c>
      <c r="F9" s="47">
        <f t="shared" si="0"/>
        <v>31.185567010309278</v>
      </c>
      <c r="G9" s="39">
        <f>F200</f>
        <v>5861</v>
      </c>
      <c r="H9" s="49">
        <f t="shared" si="1"/>
        <v>30.709981660990305</v>
      </c>
    </row>
    <row r="10" spans="1:8" s="42" customFormat="1" ht="12.75">
      <c r="A10" s="3" t="s">
        <v>255</v>
      </c>
      <c r="B10" s="39">
        <f>B221</f>
        <v>31</v>
      </c>
      <c r="C10" s="40">
        <f>C221</f>
        <v>0</v>
      </c>
      <c r="D10" s="40">
        <f>D221</f>
        <v>0</v>
      </c>
      <c r="E10" s="41">
        <f>E221</f>
        <v>31</v>
      </c>
      <c r="F10" s="47">
        <f t="shared" si="0"/>
        <v>7.989690721649484</v>
      </c>
      <c r="G10" s="39">
        <f>F221</f>
        <v>1463</v>
      </c>
      <c r="H10" s="49">
        <f t="shared" si="1"/>
        <v>7.665706051873198</v>
      </c>
    </row>
    <row r="11" spans="1:8" s="42" customFormat="1" ht="12.75">
      <c r="A11" s="3" t="s">
        <v>256</v>
      </c>
      <c r="B11" s="39">
        <f>B241</f>
        <v>24</v>
      </c>
      <c r="C11" s="40">
        <f>C241</f>
        <v>0</v>
      </c>
      <c r="D11" s="40">
        <f>D241</f>
        <v>1</v>
      </c>
      <c r="E11" s="41">
        <f>E241</f>
        <v>25</v>
      </c>
      <c r="F11" s="47">
        <f t="shared" si="0"/>
        <v>6.443298969072164</v>
      </c>
      <c r="G11" s="39">
        <f>F241</f>
        <v>1206</v>
      </c>
      <c r="H11" s="49">
        <f t="shared" si="1"/>
        <v>6.319098768666493</v>
      </c>
    </row>
    <row r="12" spans="1:8" s="42" customFormat="1" ht="12.75">
      <c r="A12" s="3" t="s">
        <v>257</v>
      </c>
      <c r="B12" s="39">
        <f>B258</f>
        <v>24</v>
      </c>
      <c r="C12" s="40">
        <f>C258</f>
        <v>0</v>
      </c>
      <c r="D12" s="40">
        <f>D258</f>
        <v>1</v>
      </c>
      <c r="E12" s="41">
        <f>E258</f>
        <v>25</v>
      </c>
      <c r="F12" s="47">
        <f t="shared" si="0"/>
        <v>6.443298969072164</v>
      </c>
      <c r="G12" s="39">
        <f>F258</f>
        <v>1184</v>
      </c>
      <c r="H12" s="49">
        <f t="shared" si="1"/>
        <v>6.203824993450353</v>
      </c>
    </row>
    <row r="13" spans="1:8" s="42" customFormat="1" ht="12.75">
      <c r="A13" s="3" t="s">
        <v>258</v>
      </c>
      <c r="B13" s="39">
        <f>B272</f>
        <v>18</v>
      </c>
      <c r="C13" s="40">
        <f>C272</f>
        <v>1</v>
      </c>
      <c r="D13" s="40">
        <f>D272</f>
        <v>2</v>
      </c>
      <c r="E13" s="41">
        <f>E272</f>
        <v>21</v>
      </c>
      <c r="F13" s="47">
        <f t="shared" si="0"/>
        <v>5.412371134020619</v>
      </c>
      <c r="G13" s="39">
        <f>F272</f>
        <v>1070</v>
      </c>
      <c r="H13" s="49">
        <f t="shared" si="1"/>
        <v>5.606497249148546</v>
      </c>
    </row>
    <row r="14" spans="1:8" s="43" customFormat="1" ht="19.5" customHeight="1">
      <c r="A14" s="4" t="s">
        <v>259</v>
      </c>
      <c r="B14" s="45">
        <f>SUM(B5:B13)</f>
        <v>374</v>
      </c>
      <c r="C14" s="45">
        <f>SUM(C5:C13)</f>
        <v>6</v>
      </c>
      <c r="D14" s="45">
        <f>SUM(D5:D13)</f>
        <v>8</v>
      </c>
      <c r="E14" s="45">
        <f>SUM(E5:E13)</f>
        <v>388</v>
      </c>
      <c r="F14" s="48">
        <f t="shared" si="0"/>
        <v>100</v>
      </c>
      <c r="G14" s="45">
        <f>SUM(G5:G13)</f>
        <v>19085</v>
      </c>
      <c r="H14" s="46">
        <f t="shared" si="1"/>
        <v>100</v>
      </c>
    </row>
    <row r="16" spans="1:5" s="2" customFormat="1" ht="11.25">
      <c r="A16" s="12" t="s">
        <v>268</v>
      </c>
      <c r="D16" s="8"/>
      <c r="E16" s="9"/>
    </row>
    <row r="17" spans="1:5" s="2" customFormat="1" ht="11.25">
      <c r="A17" s="12"/>
      <c r="D17" s="8"/>
      <c r="E17" s="9"/>
    </row>
    <row r="18" spans="1:5" s="2" customFormat="1" ht="11.25">
      <c r="A18" s="12"/>
      <c r="D18" s="8"/>
      <c r="E18" s="9"/>
    </row>
    <row r="19" spans="1:5" s="2" customFormat="1" ht="11.25">
      <c r="A19" s="12"/>
      <c r="D19" s="8"/>
      <c r="E19" s="9"/>
    </row>
    <row r="20" spans="1:5" s="2" customFormat="1" ht="11.25">
      <c r="A20" s="12"/>
      <c r="D20" s="8"/>
      <c r="E20" s="9"/>
    </row>
    <row r="21" spans="1:5" s="2" customFormat="1" ht="11.25">
      <c r="A21" s="12"/>
      <c r="B21" s="63" t="s">
        <v>250</v>
      </c>
      <c r="C21" s="93">
        <f>E5</f>
        <v>16</v>
      </c>
      <c r="D21" s="8"/>
      <c r="E21" s="9"/>
    </row>
    <row r="22" spans="1:5" s="2" customFormat="1" ht="11.25">
      <c r="A22" s="12"/>
      <c r="B22" s="63" t="s">
        <v>251</v>
      </c>
      <c r="C22" s="93">
        <f aca="true" t="shared" si="2" ref="C22:C29">E6</f>
        <v>31</v>
      </c>
      <c r="D22" s="8"/>
      <c r="E22" s="9"/>
    </row>
    <row r="23" spans="1:5" s="2" customFormat="1" ht="11.25">
      <c r="A23" s="12"/>
      <c r="B23" s="63" t="s">
        <v>252</v>
      </c>
      <c r="C23" s="93">
        <f t="shared" si="2"/>
        <v>48</v>
      </c>
      <c r="D23" s="8"/>
      <c r="E23" s="9"/>
    </row>
    <row r="24" spans="1:5" s="2" customFormat="1" ht="11.25">
      <c r="A24" s="12"/>
      <c r="B24" s="63" t="s">
        <v>253</v>
      </c>
      <c r="C24" s="93">
        <f t="shared" si="2"/>
        <v>70</v>
      </c>
      <c r="D24" s="8"/>
      <c r="E24" s="9"/>
    </row>
    <row r="25" spans="1:5" s="2" customFormat="1" ht="11.25">
      <c r="A25" s="12"/>
      <c r="B25" s="63" t="s">
        <v>254</v>
      </c>
      <c r="C25" s="93">
        <f t="shared" si="2"/>
        <v>121</v>
      </c>
      <c r="D25" s="8"/>
      <c r="E25" s="9"/>
    </row>
    <row r="26" spans="1:5" s="2" customFormat="1" ht="11.25">
      <c r="A26" s="12"/>
      <c r="B26" s="63" t="s">
        <v>255</v>
      </c>
      <c r="C26" s="93">
        <f t="shared" si="2"/>
        <v>31</v>
      </c>
      <c r="D26" s="8"/>
      <c r="E26" s="9"/>
    </row>
    <row r="27" spans="1:5" s="2" customFormat="1" ht="11.25">
      <c r="A27" s="12"/>
      <c r="B27" s="63" t="s">
        <v>256</v>
      </c>
      <c r="C27" s="93">
        <f t="shared" si="2"/>
        <v>25</v>
      </c>
      <c r="D27" s="8"/>
      <c r="E27" s="9"/>
    </row>
    <row r="28" spans="1:5" s="2" customFormat="1" ht="11.25">
      <c r="A28" s="12"/>
      <c r="B28" s="63" t="s">
        <v>257</v>
      </c>
      <c r="C28" s="93">
        <f t="shared" si="2"/>
        <v>25</v>
      </c>
      <c r="D28" s="8"/>
      <c r="E28" s="9"/>
    </row>
    <row r="29" spans="1:5" s="2" customFormat="1" ht="11.25">
      <c r="A29" s="12"/>
      <c r="B29" s="63" t="s">
        <v>258</v>
      </c>
      <c r="C29" s="93">
        <f t="shared" si="2"/>
        <v>21</v>
      </c>
      <c r="D29" s="8"/>
      <c r="E29" s="9"/>
    </row>
    <row r="30" spans="1:5" s="2" customFormat="1" ht="11.25">
      <c r="A30" s="12"/>
      <c r="D30" s="8"/>
      <c r="E30" s="9"/>
    </row>
    <row r="31" spans="1:5" s="2" customFormat="1" ht="11.25">
      <c r="A31" s="12"/>
      <c r="D31" s="8"/>
      <c r="E31" s="9"/>
    </row>
    <row r="32" s="2" customFormat="1" ht="11.25">
      <c r="A32" s="7"/>
    </row>
    <row r="33" s="2" customFormat="1" ht="11.25">
      <c r="A33" s="7"/>
    </row>
    <row r="34" s="2" customFormat="1" ht="11.25">
      <c r="A34" s="7"/>
    </row>
    <row r="35" s="2" customFormat="1" ht="11.25">
      <c r="A35" s="7"/>
    </row>
    <row r="36" s="2" customFormat="1" ht="11.25">
      <c r="A36" s="7"/>
    </row>
    <row r="37" s="2" customFormat="1" ht="11.25">
      <c r="A37" s="7"/>
    </row>
    <row r="38" s="2" customFormat="1" ht="11.25">
      <c r="A38" s="7"/>
    </row>
    <row r="39" s="2" customFormat="1" ht="11.25">
      <c r="A39" s="7"/>
    </row>
    <row r="40" s="2" customFormat="1" ht="11.25">
      <c r="A40" s="7"/>
    </row>
    <row r="41" s="2" customFormat="1" ht="11.25">
      <c r="A41" s="7"/>
    </row>
    <row r="42" s="2" customFormat="1" ht="11.25">
      <c r="A42" s="7"/>
    </row>
    <row r="43" s="2" customFormat="1" ht="11.25">
      <c r="A43" s="7"/>
    </row>
    <row r="44" s="2" customFormat="1" ht="11.25">
      <c r="A44" s="7"/>
    </row>
    <row r="45" s="2" customFormat="1" ht="11.25">
      <c r="A45" s="7"/>
    </row>
    <row r="46" s="2" customFormat="1" ht="11.25">
      <c r="A46" s="7"/>
    </row>
    <row r="47" s="2" customFormat="1" ht="11.25">
      <c r="A47" s="7"/>
    </row>
    <row r="48" spans="1:8" s="2" customFormat="1" ht="33.75" customHeight="1">
      <c r="A48" s="245" t="s">
        <v>272</v>
      </c>
      <c r="B48" s="245"/>
      <c r="C48" s="245"/>
      <c r="D48" s="245"/>
      <c r="E48" s="245"/>
      <c r="F48" s="245"/>
      <c r="G48" s="245"/>
      <c r="H48" s="245"/>
    </row>
    <row r="49" s="2" customFormat="1" ht="11.25">
      <c r="A49" s="7"/>
    </row>
    <row r="50" spans="1:6" s="11" customFormat="1" ht="60.75" customHeight="1">
      <c r="A50" s="24" t="s">
        <v>441</v>
      </c>
      <c r="B50" s="248" t="s">
        <v>372</v>
      </c>
      <c r="C50" s="249"/>
      <c r="D50" s="249"/>
      <c r="E50" s="249"/>
      <c r="F50" s="250"/>
    </row>
    <row r="51" spans="1:6" s="2" customFormat="1" ht="24" customHeight="1">
      <c r="A51" s="263" t="s">
        <v>269</v>
      </c>
      <c r="B51" s="264" t="s">
        <v>260</v>
      </c>
      <c r="C51" s="264"/>
      <c r="D51" s="264"/>
      <c r="E51" s="258" t="s">
        <v>261</v>
      </c>
      <c r="F51" s="258" t="s">
        <v>263</v>
      </c>
    </row>
    <row r="52" spans="1:6" s="2" customFormat="1" ht="31.5">
      <c r="A52" s="263"/>
      <c r="B52" s="18" t="s">
        <v>265</v>
      </c>
      <c r="C52" s="18" t="s">
        <v>267</v>
      </c>
      <c r="D52" s="18" t="s">
        <v>266</v>
      </c>
      <c r="E52" s="262"/>
      <c r="F52" s="262"/>
    </row>
    <row r="53" spans="1:6" ht="12.75">
      <c r="A53" s="51" t="s">
        <v>186</v>
      </c>
      <c r="B53" s="52">
        <v>1</v>
      </c>
      <c r="C53" s="52">
        <v>0</v>
      </c>
      <c r="D53" s="52">
        <v>0</v>
      </c>
      <c r="E53" s="53">
        <v>1</v>
      </c>
      <c r="F53" s="52">
        <v>21</v>
      </c>
    </row>
    <row r="54" spans="1:6" ht="12.75">
      <c r="A54" s="51" t="s">
        <v>187</v>
      </c>
      <c r="B54" s="52">
        <v>1</v>
      </c>
      <c r="C54" s="52">
        <v>0</v>
      </c>
      <c r="D54" s="52">
        <v>0</v>
      </c>
      <c r="E54" s="53">
        <v>1</v>
      </c>
      <c r="F54" s="52">
        <v>32</v>
      </c>
    </row>
    <row r="55" spans="1:6" ht="12.75">
      <c r="A55" s="51" t="s">
        <v>188</v>
      </c>
      <c r="B55" s="52">
        <v>1</v>
      </c>
      <c r="C55" s="52">
        <v>0</v>
      </c>
      <c r="D55" s="52">
        <v>0</v>
      </c>
      <c r="E55" s="53">
        <v>1</v>
      </c>
      <c r="F55" s="52">
        <v>15</v>
      </c>
    </row>
    <row r="56" spans="1:6" ht="12.75">
      <c r="A56" s="51" t="s">
        <v>189</v>
      </c>
      <c r="B56" s="52">
        <v>1</v>
      </c>
      <c r="C56" s="52">
        <v>0</v>
      </c>
      <c r="D56" s="52">
        <v>0</v>
      </c>
      <c r="E56" s="53">
        <v>1</v>
      </c>
      <c r="F56" s="52">
        <v>54</v>
      </c>
    </row>
    <row r="57" spans="1:6" ht="12.75">
      <c r="A57" s="51" t="s">
        <v>190</v>
      </c>
      <c r="B57" s="52">
        <v>1</v>
      </c>
      <c r="C57" s="52">
        <v>0</v>
      </c>
      <c r="D57" s="52">
        <v>0</v>
      </c>
      <c r="E57" s="53">
        <v>1</v>
      </c>
      <c r="F57" s="52">
        <v>21</v>
      </c>
    </row>
    <row r="58" spans="1:6" ht="12.75">
      <c r="A58" s="51" t="s">
        <v>191</v>
      </c>
      <c r="B58" s="52">
        <v>1</v>
      </c>
      <c r="C58" s="52">
        <v>0</v>
      </c>
      <c r="D58" s="52">
        <v>0</v>
      </c>
      <c r="E58" s="53">
        <v>1</v>
      </c>
      <c r="F58" s="52">
        <v>32</v>
      </c>
    </row>
    <row r="59" spans="1:6" ht="12.75">
      <c r="A59" s="51" t="s">
        <v>250</v>
      </c>
      <c r="B59" s="52">
        <v>8</v>
      </c>
      <c r="C59" s="52">
        <v>0</v>
      </c>
      <c r="D59" s="52">
        <v>0</v>
      </c>
      <c r="E59" s="53">
        <v>8</v>
      </c>
      <c r="F59" s="52">
        <v>466</v>
      </c>
    </row>
    <row r="60" spans="1:6" ht="12.75">
      <c r="A60" s="51" t="s">
        <v>196</v>
      </c>
      <c r="B60" s="52">
        <v>1</v>
      </c>
      <c r="C60" s="52">
        <v>0</v>
      </c>
      <c r="D60" s="52">
        <v>0</v>
      </c>
      <c r="E60" s="53">
        <v>1</v>
      </c>
      <c r="F60" s="52">
        <v>36</v>
      </c>
    </row>
    <row r="61" spans="1:6" ht="12.75">
      <c r="A61" s="51" t="s">
        <v>198</v>
      </c>
      <c r="B61" s="52">
        <v>1</v>
      </c>
      <c r="C61" s="52">
        <v>0</v>
      </c>
      <c r="D61" s="52">
        <v>0</v>
      </c>
      <c r="E61" s="53">
        <v>1</v>
      </c>
      <c r="F61" s="52">
        <v>61</v>
      </c>
    </row>
    <row r="62" spans="1:7" s="23" customFormat="1" ht="17.25" customHeight="1">
      <c r="A62" s="21" t="s">
        <v>270</v>
      </c>
      <c r="B62" s="22">
        <f>SUM(B53:B61)</f>
        <v>16</v>
      </c>
      <c r="C62" s="22">
        <f>SUM(C53:C61)</f>
        <v>0</v>
      </c>
      <c r="D62" s="22">
        <f>SUM(D53:D61)</f>
        <v>0</v>
      </c>
      <c r="E62" s="22">
        <f>SUM(E53:E61)</f>
        <v>16</v>
      </c>
      <c r="F62" s="22">
        <f>SUM(F53:F61)</f>
        <v>738</v>
      </c>
      <c r="G62" s="11"/>
    </row>
    <row r="65" spans="1:10" s="11" customFormat="1" ht="60.75" customHeight="1">
      <c r="A65" s="24" t="s">
        <v>441</v>
      </c>
      <c r="B65" s="248" t="s">
        <v>373</v>
      </c>
      <c r="C65" s="249"/>
      <c r="D65" s="249"/>
      <c r="E65" s="249"/>
      <c r="F65" s="250"/>
      <c r="G65" s="44"/>
      <c r="H65" s="44"/>
      <c r="I65" s="44"/>
      <c r="J65" s="25"/>
    </row>
    <row r="66" spans="1:6" s="11" customFormat="1" ht="24" customHeight="1">
      <c r="A66" s="268" t="s">
        <v>269</v>
      </c>
      <c r="B66" s="269" t="s">
        <v>260</v>
      </c>
      <c r="C66" s="269"/>
      <c r="D66" s="269"/>
      <c r="E66" s="244" t="s">
        <v>261</v>
      </c>
      <c r="F66" s="244" t="s">
        <v>263</v>
      </c>
    </row>
    <row r="67" spans="1:6" s="11" customFormat="1" ht="31.5">
      <c r="A67" s="268"/>
      <c r="B67" s="18" t="s">
        <v>265</v>
      </c>
      <c r="C67" s="18" t="s">
        <v>267</v>
      </c>
      <c r="D67" s="18" t="s">
        <v>266</v>
      </c>
      <c r="E67" s="247"/>
      <c r="F67" s="247"/>
    </row>
    <row r="68" spans="1:10" ht="12" customHeight="1">
      <c r="A68" s="51" t="s">
        <v>200</v>
      </c>
      <c r="B68" s="52">
        <v>1</v>
      </c>
      <c r="C68" s="52">
        <v>0</v>
      </c>
      <c r="D68" s="52">
        <v>0</v>
      </c>
      <c r="E68" s="53">
        <v>1</v>
      </c>
      <c r="F68" s="52">
        <v>63</v>
      </c>
      <c r="H68" s="11"/>
      <c r="I68" s="11"/>
      <c r="J68" s="11"/>
    </row>
    <row r="69" spans="1:10" ht="12.75">
      <c r="A69" s="51" t="s">
        <v>201</v>
      </c>
      <c r="B69" s="52">
        <v>1</v>
      </c>
      <c r="C69" s="52">
        <v>0</v>
      </c>
      <c r="D69" s="52">
        <v>0</v>
      </c>
      <c r="E69" s="53">
        <v>1</v>
      </c>
      <c r="F69" s="52">
        <v>30</v>
      </c>
      <c r="H69" s="11"/>
      <c r="I69" s="11"/>
      <c r="J69" s="11"/>
    </row>
    <row r="70" spans="1:10" ht="12.75">
      <c r="A70" s="51" t="s">
        <v>202</v>
      </c>
      <c r="B70" s="52">
        <v>1</v>
      </c>
      <c r="C70" s="52">
        <v>0</v>
      </c>
      <c r="D70" s="52">
        <v>0</v>
      </c>
      <c r="E70" s="53">
        <v>1</v>
      </c>
      <c r="F70" s="52">
        <v>80</v>
      </c>
      <c r="H70" s="11"/>
      <c r="I70" s="11"/>
      <c r="J70" s="11"/>
    </row>
    <row r="71" spans="1:10" ht="12.75">
      <c r="A71" s="51" t="s">
        <v>204</v>
      </c>
      <c r="B71" s="52">
        <v>1</v>
      </c>
      <c r="C71" s="52">
        <v>0</v>
      </c>
      <c r="D71" s="52">
        <v>0</v>
      </c>
      <c r="E71" s="53">
        <v>1</v>
      </c>
      <c r="F71" s="52">
        <v>69</v>
      </c>
      <c r="H71" s="11"/>
      <c r="I71" s="11"/>
      <c r="J71" s="11"/>
    </row>
    <row r="72" spans="1:10" ht="12.75">
      <c r="A72" s="51" t="s">
        <v>205</v>
      </c>
      <c r="B72" s="52">
        <v>1</v>
      </c>
      <c r="C72" s="52">
        <v>0</v>
      </c>
      <c r="D72" s="52">
        <v>0</v>
      </c>
      <c r="E72" s="53">
        <v>1</v>
      </c>
      <c r="F72" s="52">
        <v>69</v>
      </c>
      <c r="H72" s="11"/>
      <c r="I72" s="11"/>
      <c r="J72" s="11"/>
    </row>
    <row r="73" spans="1:10" ht="12.75">
      <c r="A73" s="51" t="s">
        <v>206</v>
      </c>
      <c r="B73" s="52">
        <v>1</v>
      </c>
      <c r="C73" s="52">
        <v>0</v>
      </c>
      <c r="D73" s="52">
        <v>0</v>
      </c>
      <c r="E73" s="53">
        <v>1</v>
      </c>
      <c r="F73" s="52">
        <v>26</v>
      </c>
      <c r="H73" s="11"/>
      <c r="I73" s="11"/>
      <c r="J73" s="11"/>
    </row>
    <row r="74" spans="1:10" ht="12.75">
      <c r="A74" s="51" t="s">
        <v>207</v>
      </c>
      <c r="B74" s="52">
        <v>1</v>
      </c>
      <c r="C74" s="52">
        <v>0</v>
      </c>
      <c r="D74" s="52">
        <v>0</v>
      </c>
      <c r="E74" s="53">
        <v>1</v>
      </c>
      <c r="F74" s="52">
        <v>47</v>
      </c>
      <c r="H74" s="11"/>
      <c r="I74" s="11"/>
      <c r="J74" s="11"/>
    </row>
    <row r="75" spans="1:10" ht="12.75">
      <c r="A75" s="51" t="s">
        <v>208</v>
      </c>
      <c r="B75" s="52">
        <v>0</v>
      </c>
      <c r="C75" s="52">
        <v>0</v>
      </c>
      <c r="D75" s="52">
        <v>1</v>
      </c>
      <c r="E75" s="53">
        <v>1</v>
      </c>
      <c r="F75" s="52">
        <v>20</v>
      </c>
      <c r="H75" s="11"/>
      <c r="I75" s="11"/>
      <c r="J75" s="11"/>
    </row>
    <row r="76" spans="1:10" ht="12.75">
      <c r="A76" s="51" t="s">
        <v>210</v>
      </c>
      <c r="B76" s="52">
        <v>1</v>
      </c>
      <c r="C76" s="52">
        <v>1</v>
      </c>
      <c r="D76" s="52">
        <v>0</v>
      </c>
      <c r="E76" s="53">
        <v>2</v>
      </c>
      <c r="F76" s="52">
        <v>72</v>
      </c>
      <c r="H76" s="11"/>
      <c r="I76" s="11"/>
      <c r="J76" s="11"/>
    </row>
    <row r="77" spans="1:10" ht="12.75">
      <c r="A77" s="51" t="s">
        <v>374</v>
      </c>
      <c r="B77" s="52">
        <v>0</v>
      </c>
      <c r="C77" s="52">
        <v>1</v>
      </c>
      <c r="D77" s="52">
        <v>0</v>
      </c>
      <c r="E77" s="53">
        <v>1</v>
      </c>
      <c r="F77" s="52">
        <v>23</v>
      </c>
      <c r="H77" s="11"/>
      <c r="I77" s="11"/>
      <c r="J77" s="11"/>
    </row>
    <row r="78" spans="1:10" ht="12.75">
      <c r="A78" s="121" t="s">
        <v>211</v>
      </c>
      <c r="B78" s="52">
        <v>1</v>
      </c>
      <c r="C78" s="52">
        <v>0</v>
      </c>
      <c r="D78" s="52">
        <v>0</v>
      </c>
      <c r="E78" s="53">
        <v>1</v>
      </c>
      <c r="F78" s="52">
        <v>36</v>
      </c>
      <c r="H78" s="11"/>
      <c r="I78" s="11"/>
      <c r="J78" s="11"/>
    </row>
    <row r="79" spans="1:10" ht="12.75">
      <c r="A79" s="51" t="s">
        <v>251</v>
      </c>
      <c r="B79" s="52">
        <v>15</v>
      </c>
      <c r="C79" s="52">
        <v>0</v>
      </c>
      <c r="D79" s="52">
        <v>0</v>
      </c>
      <c r="E79" s="53">
        <v>15</v>
      </c>
      <c r="F79" s="52">
        <v>876</v>
      </c>
      <c r="H79" s="11"/>
      <c r="I79" s="11"/>
      <c r="J79" s="11"/>
    </row>
    <row r="80" spans="1:10" ht="12.75">
      <c r="A80" s="51" t="s">
        <v>212</v>
      </c>
      <c r="B80" s="52">
        <v>2</v>
      </c>
      <c r="C80" s="52">
        <v>0</v>
      </c>
      <c r="D80" s="52">
        <v>0</v>
      </c>
      <c r="E80" s="53">
        <v>2</v>
      </c>
      <c r="F80" s="52">
        <v>83</v>
      </c>
      <c r="H80" s="11"/>
      <c r="I80" s="11"/>
      <c r="J80" s="11"/>
    </row>
    <row r="81" spans="1:10" ht="12.75">
      <c r="A81" s="51" t="s">
        <v>214</v>
      </c>
      <c r="B81" s="52">
        <v>1</v>
      </c>
      <c r="C81" s="52">
        <v>0</v>
      </c>
      <c r="D81" s="52">
        <v>0</v>
      </c>
      <c r="E81" s="53">
        <v>1</v>
      </c>
      <c r="F81" s="52">
        <v>63</v>
      </c>
      <c r="H81" s="11"/>
      <c r="I81" s="11"/>
      <c r="J81" s="11"/>
    </row>
    <row r="82" spans="1:10" ht="12.75">
      <c r="A82" s="51" t="s">
        <v>216</v>
      </c>
      <c r="B82" s="52">
        <v>1</v>
      </c>
      <c r="C82" s="52">
        <v>0</v>
      </c>
      <c r="D82" s="52">
        <v>0</v>
      </c>
      <c r="E82" s="53">
        <v>1</v>
      </c>
      <c r="F82" s="52">
        <v>35</v>
      </c>
      <c r="H82" s="11"/>
      <c r="I82" s="11"/>
      <c r="J82" s="11"/>
    </row>
    <row r="83" spans="1:10" s="23" customFormat="1" ht="17.25" customHeight="1">
      <c r="A83" s="21" t="s">
        <v>271</v>
      </c>
      <c r="B83" s="22">
        <f>SUM(B68:B82)</f>
        <v>28</v>
      </c>
      <c r="C83" s="22">
        <f>SUM(C68:C82)</f>
        <v>2</v>
      </c>
      <c r="D83" s="22">
        <f>SUM(D68:D82)</f>
        <v>1</v>
      </c>
      <c r="E83" s="22">
        <f>SUM(E68:E82)</f>
        <v>31</v>
      </c>
      <c r="F83" s="22">
        <f>SUM(F68:F82)</f>
        <v>1592</v>
      </c>
      <c r="G83" s="11"/>
      <c r="H83" s="11"/>
      <c r="I83" s="11"/>
      <c r="J83" s="11"/>
    </row>
    <row r="84" spans="8:10" ht="12.75">
      <c r="H84" s="11"/>
      <c r="I84" s="11"/>
      <c r="J84" s="11"/>
    </row>
    <row r="85" spans="1:10" s="34" customFormat="1" ht="12.75">
      <c r="A85" s="56" t="s">
        <v>273</v>
      </c>
      <c r="B85" s="54"/>
      <c r="H85" s="11"/>
      <c r="I85" s="11"/>
      <c r="J85" s="11"/>
    </row>
    <row r="86" spans="1:2" s="34" customFormat="1" ht="16.5" customHeight="1">
      <c r="A86" s="56" t="s">
        <v>274</v>
      </c>
      <c r="B86" s="54"/>
    </row>
    <row r="88" spans="1:7" s="11" customFormat="1" ht="60.75" customHeight="1">
      <c r="A88" s="24" t="s">
        <v>441</v>
      </c>
      <c r="B88" s="248" t="s">
        <v>396</v>
      </c>
      <c r="C88" s="249"/>
      <c r="D88" s="249"/>
      <c r="E88" s="249"/>
      <c r="F88" s="250"/>
      <c r="G88" s="25"/>
    </row>
    <row r="89" spans="1:6" s="11" customFormat="1" ht="24" customHeight="1">
      <c r="A89" s="268" t="s">
        <v>269</v>
      </c>
      <c r="B89" s="269" t="s">
        <v>260</v>
      </c>
      <c r="C89" s="269"/>
      <c r="D89" s="269"/>
      <c r="E89" s="244" t="s">
        <v>261</v>
      </c>
      <c r="F89" s="244" t="s">
        <v>263</v>
      </c>
    </row>
    <row r="90" spans="1:6" s="11" customFormat="1" ht="31.5">
      <c r="A90" s="268"/>
      <c r="B90" s="18" t="s">
        <v>265</v>
      </c>
      <c r="C90" s="18" t="s">
        <v>267</v>
      </c>
      <c r="D90" s="18" t="s">
        <v>266</v>
      </c>
      <c r="E90" s="247"/>
      <c r="F90" s="247"/>
    </row>
    <row r="91" spans="1:6" ht="12.75">
      <c r="A91" s="51" t="s">
        <v>217</v>
      </c>
      <c r="B91" s="52">
        <v>1</v>
      </c>
      <c r="C91" s="52">
        <v>0</v>
      </c>
      <c r="D91" s="52">
        <v>0</v>
      </c>
      <c r="E91" s="53">
        <v>1</v>
      </c>
      <c r="F91" s="52">
        <v>94</v>
      </c>
    </row>
    <row r="92" spans="1:6" ht="12.75">
      <c r="A92" s="51" t="s">
        <v>218</v>
      </c>
      <c r="B92" s="52">
        <v>1</v>
      </c>
      <c r="C92" s="52">
        <v>0</v>
      </c>
      <c r="D92" s="52">
        <v>0</v>
      </c>
      <c r="E92" s="53">
        <v>1</v>
      </c>
      <c r="F92" s="52">
        <v>36</v>
      </c>
    </row>
    <row r="93" spans="1:6" ht="12.75">
      <c r="A93" s="51" t="s">
        <v>220</v>
      </c>
      <c r="B93" s="52">
        <v>1</v>
      </c>
      <c r="C93" s="52">
        <v>0</v>
      </c>
      <c r="D93" s="52">
        <v>0</v>
      </c>
      <c r="E93" s="53">
        <v>1</v>
      </c>
      <c r="F93" s="52">
        <v>70</v>
      </c>
    </row>
    <row r="94" spans="1:6" ht="12.75">
      <c r="A94" s="51" t="s">
        <v>221</v>
      </c>
      <c r="B94" s="52">
        <v>1</v>
      </c>
      <c r="C94" s="52">
        <v>0</v>
      </c>
      <c r="D94" s="52">
        <v>0</v>
      </c>
      <c r="E94" s="53">
        <v>1</v>
      </c>
      <c r="F94" s="52">
        <v>56</v>
      </c>
    </row>
    <row r="95" spans="1:6" ht="12.75">
      <c r="A95" s="51" t="s">
        <v>222</v>
      </c>
      <c r="B95" s="52">
        <v>1</v>
      </c>
      <c r="C95" s="52">
        <v>0</v>
      </c>
      <c r="D95" s="52">
        <v>0</v>
      </c>
      <c r="E95" s="53">
        <v>1</v>
      </c>
      <c r="F95" s="52">
        <v>52</v>
      </c>
    </row>
    <row r="96" spans="1:6" ht="12.75">
      <c r="A96" s="51" t="s">
        <v>277</v>
      </c>
      <c r="B96" s="52">
        <v>1</v>
      </c>
      <c r="C96" s="52">
        <v>0</v>
      </c>
      <c r="D96" s="52">
        <v>0</v>
      </c>
      <c r="E96" s="53">
        <v>1</v>
      </c>
      <c r="F96" s="52">
        <v>34</v>
      </c>
    </row>
    <row r="97" spans="1:6" ht="12.75">
      <c r="A97" s="51" t="s">
        <v>279</v>
      </c>
      <c r="B97" s="52">
        <v>2</v>
      </c>
      <c r="C97" s="52">
        <v>0</v>
      </c>
      <c r="D97" s="52">
        <v>0</v>
      </c>
      <c r="E97" s="53">
        <v>2</v>
      </c>
      <c r="F97" s="52">
        <v>146</v>
      </c>
    </row>
    <row r="98" spans="1:6" ht="12.75">
      <c r="A98" s="51" t="s">
        <v>280</v>
      </c>
      <c r="B98" s="52">
        <v>1</v>
      </c>
      <c r="C98" s="52">
        <v>1</v>
      </c>
      <c r="D98" s="52">
        <v>0</v>
      </c>
      <c r="E98" s="53">
        <v>2</v>
      </c>
      <c r="F98" s="52">
        <v>99</v>
      </c>
    </row>
    <row r="99" spans="1:6" ht="12.75">
      <c r="A99" s="51" t="s">
        <v>281</v>
      </c>
      <c r="B99" s="52">
        <v>1</v>
      </c>
      <c r="C99" s="52">
        <v>0</v>
      </c>
      <c r="D99" s="52">
        <v>0</v>
      </c>
      <c r="E99" s="53">
        <v>1</v>
      </c>
      <c r="F99" s="52">
        <v>24</v>
      </c>
    </row>
    <row r="100" spans="1:6" ht="12.75">
      <c r="A100" s="51" t="s">
        <v>282</v>
      </c>
      <c r="B100" s="52">
        <v>1</v>
      </c>
      <c r="C100" s="52">
        <v>0</v>
      </c>
      <c r="D100" s="52">
        <v>0</v>
      </c>
      <c r="E100" s="53">
        <v>1</v>
      </c>
      <c r="F100" s="52">
        <v>42</v>
      </c>
    </row>
    <row r="101" spans="1:6" ht="12.75">
      <c r="A101" s="51" t="s">
        <v>283</v>
      </c>
      <c r="B101" s="52">
        <v>1</v>
      </c>
      <c r="C101" s="52">
        <v>0</v>
      </c>
      <c r="D101" s="52">
        <v>0</v>
      </c>
      <c r="E101" s="53">
        <v>1</v>
      </c>
      <c r="F101" s="52">
        <v>78</v>
      </c>
    </row>
    <row r="102" spans="1:6" ht="12.75">
      <c r="A102" s="51" t="s">
        <v>284</v>
      </c>
      <c r="B102" s="52">
        <v>3</v>
      </c>
      <c r="C102" s="52">
        <v>0</v>
      </c>
      <c r="D102" s="52">
        <v>0</v>
      </c>
      <c r="E102" s="53">
        <v>3</v>
      </c>
      <c r="F102" s="52">
        <v>164</v>
      </c>
    </row>
    <row r="103" spans="1:6" ht="12.75">
      <c r="A103" s="51" t="s">
        <v>285</v>
      </c>
      <c r="B103" s="52">
        <v>1</v>
      </c>
      <c r="C103" s="52">
        <v>0</v>
      </c>
      <c r="D103" s="52">
        <v>0</v>
      </c>
      <c r="E103" s="53">
        <v>1</v>
      </c>
      <c r="F103" s="52">
        <v>37</v>
      </c>
    </row>
    <row r="104" spans="1:6" ht="12.75">
      <c r="A104" s="51" t="s">
        <v>287</v>
      </c>
      <c r="B104" s="52">
        <v>1</v>
      </c>
      <c r="C104" s="52">
        <v>0</v>
      </c>
      <c r="D104" s="52">
        <v>0</v>
      </c>
      <c r="E104" s="53">
        <v>1</v>
      </c>
      <c r="F104" s="52">
        <v>33</v>
      </c>
    </row>
    <row r="105" spans="1:6" ht="12.75">
      <c r="A105" s="51" t="s">
        <v>288</v>
      </c>
      <c r="B105" s="52">
        <v>2</v>
      </c>
      <c r="C105" s="52">
        <v>0</v>
      </c>
      <c r="D105" s="52">
        <v>0</v>
      </c>
      <c r="E105" s="53">
        <v>2</v>
      </c>
      <c r="F105" s="52">
        <v>88</v>
      </c>
    </row>
    <row r="106" spans="1:6" ht="12.75">
      <c r="A106" s="51" t="s">
        <v>289</v>
      </c>
      <c r="B106" s="52">
        <v>1</v>
      </c>
      <c r="C106" s="52">
        <v>0</v>
      </c>
      <c r="D106" s="52">
        <v>0</v>
      </c>
      <c r="E106" s="53">
        <v>1</v>
      </c>
      <c r="F106" s="52">
        <v>50</v>
      </c>
    </row>
    <row r="107" spans="1:6" ht="12.75">
      <c r="A107" s="51" t="s">
        <v>290</v>
      </c>
      <c r="B107" s="52">
        <v>1</v>
      </c>
      <c r="C107" s="52">
        <v>0</v>
      </c>
      <c r="D107" s="52">
        <v>0</v>
      </c>
      <c r="E107" s="53">
        <v>1</v>
      </c>
      <c r="F107" s="52">
        <v>63</v>
      </c>
    </row>
    <row r="108" spans="1:6" ht="12.75">
      <c r="A108" s="51" t="s">
        <v>291</v>
      </c>
      <c r="B108" s="52">
        <v>2</v>
      </c>
      <c r="C108" s="52">
        <v>0</v>
      </c>
      <c r="D108" s="52">
        <v>0</v>
      </c>
      <c r="E108" s="53">
        <v>2</v>
      </c>
      <c r="F108" s="52">
        <v>94</v>
      </c>
    </row>
    <row r="109" spans="1:6" ht="12.75">
      <c r="A109" s="51" t="s">
        <v>292</v>
      </c>
      <c r="B109" s="52">
        <v>1</v>
      </c>
      <c r="C109" s="52">
        <v>1</v>
      </c>
      <c r="D109" s="52">
        <v>0</v>
      </c>
      <c r="E109" s="53">
        <v>2</v>
      </c>
      <c r="F109" s="52">
        <v>78</v>
      </c>
    </row>
    <row r="110" spans="1:6" ht="12.75">
      <c r="A110" s="51" t="s">
        <v>293</v>
      </c>
      <c r="B110" s="52">
        <v>1</v>
      </c>
      <c r="C110" s="52">
        <v>0</v>
      </c>
      <c r="D110" s="52">
        <v>0</v>
      </c>
      <c r="E110" s="53">
        <v>1</v>
      </c>
      <c r="F110" s="52">
        <v>56</v>
      </c>
    </row>
    <row r="111" spans="1:6" ht="12.75">
      <c r="A111" s="51" t="s">
        <v>294</v>
      </c>
      <c r="B111" s="52">
        <v>13</v>
      </c>
      <c r="C111" s="52">
        <v>0</v>
      </c>
      <c r="D111" s="52">
        <v>1</v>
      </c>
      <c r="E111" s="53">
        <v>14</v>
      </c>
      <c r="F111" s="52">
        <v>822</v>
      </c>
    </row>
    <row r="112" spans="1:6" ht="12.75">
      <c r="A112" s="51" t="s">
        <v>295</v>
      </c>
      <c r="B112" s="52">
        <v>1</v>
      </c>
      <c r="C112" s="52">
        <v>0</v>
      </c>
      <c r="D112" s="52">
        <v>0</v>
      </c>
      <c r="E112" s="53">
        <v>1</v>
      </c>
      <c r="F112" s="52">
        <v>51</v>
      </c>
    </row>
    <row r="113" spans="1:6" ht="12.75">
      <c r="A113" s="51" t="s">
        <v>298</v>
      </c>
      <c r="B113" s="52">
        <v>1</v>
      </c>
      <c r="C113" s="52">
        <v>0</v>
      </c>
      <c r="D113" s="52">
        <v>0</v>
      </c>
      <c r="E113" s="53">
        <v>1</v>
      </c>
      <c r="F113" s="52">
        <v>79</v>
      </c>
    </row>
    <row r="114" spans="1:6" ht="12.75">
      <c r="A114" s="51" t="s">
        <v>299</v>
      </c>
      <c r="B114" s="52">
        <v>2</v>
      </c>
      <c r="C114" s="52">
        <v>0</v>
      </c>
      <c r="D114" s="52">
        <v>0</v>
      </c>
      <c r="E114" s="53">
        <v>2</v>
      </c>
      <c r="F114" s="52">
        <v>102</v>
      </c>
    </row>
    <row r="115" spans="1:6" ht="12.75">
      <c r="A115" s="51" t="s">
        <v>300</v>
      </c>
      <c r="B115" s="52">
        <v>1</v>
      </c>
      <c r="C115" s="52">
        <v>0</v>
      </c>
      <c r="D115" s="52">
        <v>0</v>
      </c>
      <c r="E115" s="53">
        <v>1</v>
      </c>
      <c r="F115" s="52">
        <v>69</v>
      </c>
    </row>
    <row r="116" spans="1:6" ht="12.75">
      <c r="A116" s="51" t="s">
        <v>301</v>
      </c>
      <c r="B116" s="52">
        <v>2</v>
      </c>
      <c r="C116" s="52">
        <v>0</v>
      </c>
      <c r="D116" s="52">
        <v>0</v>
      </c>
      <c r="E116" s="53">
        <v>2</v>
      </c>
      <c r="F116" s="52">
        <v>123</v>
      </c>
    </row>
    <row r="117" spans="1:7" s="23" customFormat="1" ht="17.25" customHeight="1">
      <c r="A117" s="21" t="s">
        <v>223</v>
      </c>
      <c r="B117" s="22">
        <f>SUM(B91:B116)</f>
        <v>45</v>
      </c>
      <c r="C117" s="22">
        <f>SUM(C91:C116)</f>
        <v>2</v>
      </c>
      <c r="D117" s="22">
        <f>SUM(D91:D116)</f>
        <v>1</v>
      </c>
      <c r="E117" s="22">
        <f>SUM(E91:E116)</f>
        <v>48</v>
      </c>
      <c r="F117" s="22">
        <f>SUM(F91:F116)</f>
        <v>2640</v>
      </c>
      <c r="G117" s="11"/>
    </row>
    <row r="119" ht="12.75">
      <c r="A119" s="57" t="s">
        <v>245</v>
      </c>
    </row>
    <row r="120" s="55" customFormat="1" ht="10.5">
      <c r="A120" s="57" t="s">
        <v>244</v>
      </c>
    </row>
    <row r="122" spans="1:6" s="11" customFormat="1" ht="60.75" customHeight="1">
      <c r="A122" s="24" t="s">
        <v>441</v>
      </c>
      <c r="B122" s="248" t="s">
        <v>411</v>
      </c>
      <c r="C122" s="249"/>
      <c r="D122" s="249"/>
      <c r="E122" s="249"/>
      <c r="F122" s="250"/>
    </row>
    <row r="123" spans="1:6" s="11" customFormat="1" ht="24" customHeight="1">
      <c r="A123" s="268" t="s">
        <v>269</v>
      </c>
      <c r="B123" s="269" t="s">
        <v>260</v>
      </c>
      <c r="C123" s="269"/>
      <c r="D123" s="269"/>
      <c r="E123" s="244" t="s">
        <v>261</v>
      </c>
      <c r="F123" s="244" t="s">
        <v>263</v>
      </c>
    </row>
    <row r="124" spans="1:6" s="11" customFormat="1" ht="31.5">
      <c r="A124" s="268"/>
      <c r="B124" s="18" t="s">
        <v>265</v>
      </c>
      <c r="C124" s="18" t="s">
        <v>267</v>
      </c>
      <c r="D124" s="18" t="s">
        <v>266</v>
      </c>
      <c r="E124" s="247"/>
      <c r="F124" s="247"/>
    </row>
    <row r="125" spans="1:6" ht="12.75">
      <c r="A125" s="51" t="s">
        <v>305</v>
      </c>
      <c r="B125" s="52">
        <v>1</v>
      </c>
      <c r="C125" s="52">
        <v>0</v>
      </c>
      <c r="D125" s="52">
        <v>0</v>
      </c>
      <c r="E125" s="53">
        <v>1</v>
      </c>
      <c r="F125" s="52">
        <v>56</v>
      </c>
    </row>
    <row r="126" spans="1:6" ht="12.75">
      <c r="A126" s="51" t="s">
        <v>306</v>
      </c>
      <c r="B126" s="52">
        <v>1</v>
      </c>
      <c r="C126" s="52">
        <v>1</v>
      </c>
      <c r="D126" s="52">
        <v>0</v>
      </c>
      <c r="E126" s="53">
        <v>2</v>
      </c>
      <c r="F126" s="52">
        <v>85</v>
      </c>
    </row>
    <row r="127" spans="1:6" ht="12.75">
      <c r="A127" s="51" t="s">
        <v>307</v>
      </c>
      <c r="B127" s="52">
        <v>6</v>
      </c>
      <c r="C127" s="52">
        <v>0</v>
      </c>
      <c r="D127" s="52">
        <v>0</v>
      </c>
      <c r="E127" s="53">
        <v>6</v>
      </c>
      <c r="F127" s="52">
        <v>334</v>
      </c>
    </row>
    <row r="128" spans="1:6" ht="12.75">
      <c r="A128" s="51" t="s">
        <v>308</v>
      </c>
      <c r="B128" s="52">
        <v>5</v>
      </c>
      <c r="C128" s="52">
        <v>0</v>
      </c>
      <c r="D128" s="52">
        <v>0</v>
      </c>
      <c r="E128" s="53">
        <v>5</v>
      </c>
      <c r="F128" s="52">
        <v>211</v>
      </c>
    </row>
    <row r="129" spans="1:6" ht="12.75">
      <c r="A129" s="51" t="s">
        <v>309</v>
      </c>
      <c r="B129" s="52">
        <v>3</v>
      </c>
      <c r="C129" s="52">
        <v>0</v>
      </c>
      <c r="D129" s="52">
        <v>0</v>
      </c>
      <c r="E129" s="53">
        <v>3</v>
      </c>
      <c r="F129" s="52">
        <v>100</v>
      </c>
    </row>
    <row r="130" spans="1:6" ht="12.75">
      <c r="A130" s="51" t="s">
        <v>310</v>
      </c>
      <c r="B130" s="52">
        <v>1</v>
      </c>
      <c r="C130" s="52">
        <v>0</v>
      </c>
      <c r="D130" s="52">
        <v>0</v>
      </c>
      <c r="E130" s="53">
        <v>1</v>
      </c>
      <c r="F130" s="52">
        <v>75</v>
      </c>
    </row>
    <row r="131" spans="1:6" ht="12.75">
      <c r="A131" s="51" t="s">
        <v>311</v>
      </c>
      <c r="B131" s="52">
        <v>1</v>
      </c>
      <c r="C131" s="52">
        <v>0</v>
      </c>
      <c r="D131" s="52">
        <v>0</v>
      </c>
      <c r="E131" s="53">
        <v>1</v>
      </c>
      <c r="F131" s="52">
        <v>55</v>
      </c>
    </row>
    <row r="132" spans="1:6" ht="12.75">
      <c r="A132" s="51" t="s">
        <v>312</v>
      </c>
      <c r="B132" s="52">
        <v>1</v>
      </c>
      <c r="C132" s="52">
        <v>0</v>
      </c>
      <c r="D132" s="52">
        <v>0</v>
      </c>
      <c r="E132" s="53">
        <v>1</v>
      </c>
      <c r="F132" s="52">
        <v>45</v>
      </c>
    </row>
    <row r="133" spans="1:6" ht="12.75">
      <c r="A133" s="51" t="s">
        <v>313</v>
      </c>
      <c r="B133" s="52">
        <v>2</v>
      </c>
      <c r="C133" s="52">
        <v>0</v>
      </c>
      <c r="D133" s="52">
        <v>0</v>
      </c>
      <c r="E133" s="53">
        <v>2</v>
      </c>
      <c r="F133" s="52">
        <v>76</v>
      </c>
    </row>
    <row r="134" spans="1:6" ht="12.75">
      <c r="A134" s="51" t="s">
        <v>314</v>
      </c>
      <c r="B134" s="52">
        <v>2</v>
      </c>
      <c r="C134" s="52">
        <v>0</v>
      </c>
      <c r="D134" s="52">
        <v>0</v>
      </c>
      <c r="E134" s="53">
        <v>2</v>
      </c>
      <c r="F134" s="52">
        <v>108</v>
      </c>
    </row>
    <row r="135" spans="1:6" ht="12.75">
      <c r="A135" s="51" t="s">
        <v>315</v>
      </c>
      <c r="B135" s="52">
        <v>2</v>
      </c>
      <c r="C135" s="52">
        <v>0</v>
      </c>
      <c r="D135" s="52">
        <v>0</v>
      </c>
      <c r="E135" s="53">
        <v>2</v>
      </c>
      <c r="F135" s="52">
        <v>138</v>
      </c>
    </row>
    <row r="136" spans="1:6" ht="12.75">
      <c r="A136" s="51" t="s">
        <v>316</v>
      </c>
      <c r="B136" s="52">
        <v>0</v>
      </c>
      <c r="C136" s="52">
        <v>0</v>
      </c>
      <c r="D136" s="52">
        <v>1</v>
      </c>
      <c r="E136" s="53">
        <v>1</v>
      </c>
      <c r="F136" s="52">
        <v>8</v>
      </c>
    </row>
    <row r="137" spans="1:6" ht="12.75">
      <c r="A137" s="51" t="s">
        <v>318</v>
      </c>
      <c r="B137" s="52">
        <v>1</v>
      </c>
      <c r="C137" s="52">
        <v>0</v>
      </c>
      <c r="D137" s="52">
        <v>0</v>
      </c>
      <c r="E137" s="53">
        <v>1</v>
      </c>
      <c r="F137" s="52">
        <v>78</v>
      </c>
    </row>
    <row r="138" spans="1:6" ht="12.75">
      <c r="A138" s="51" t="s">
        <v>320</v>
      </c>
      <c r="B138" s="52">
        <v>1</v>
      </c>
      <c r="C138" s="52">
        <v>0</v>
      </c>
      <c r="D138" s="52">
        <v>0</v>
      </c>
      <c r="E138" s="53">
        <v>1</v>
      </c>
      <c r="F138" s="52">
        <v>53</v>
      </c>
    </row>
    <row r="139" spans="1:6" ht="12.75">
      <c r="A139" s="51" t="s">
        <v>321</v>
      </c>
      <c r="B139" s="52">
        <v>1</v>
      </c>
      <c r="C139" s="52">
        <v>0</v>
      </c>
      <c r="D139" s="52">
        <v>0</v>
      </c>
      <c r="E139" s="53">
        <v>1</v>
      </c>
      <c r="F139" s="52">
        <v>71</v>
      </c>
    </row>
    <row r="140" spans="1:6" ht="12.75">
      <c r="A140" s="51" t="s">
        <v>253</v>
      </c>
      <c r="B140" s="52">
        <v>20</v>
      </c>
      <c r="C140" s="52">
        <v>0</v>
      </c>
      <c r="D140" s="52">
        <v>0</v>
      </c>
      <c r="E140" s="53">
        <v>20</v>
      </c>
      <c r="F140" s="52">
        <v>947</v>
      </c>
    </row>
    <row r="141" spans="1:6" ht="12.75">
      <c r="A141" s="51" t="s">
        <v>322</v>
      </c>
      <c r="B141" s="52">
        <v>1</v>
      </c>
      <c r="C141" s="52">
        <v>0</v>
      </c>
      <c r="D141" s="52">
        <v>0</v>
      </c>
      <c r="E141" s="53">
        <v>1</v>
      </c>
      <c r="F141" s="52">
        <v>61</v>
      </c>
    </row>
    <row r="142" spans="1:6" ht="12.75">
      <c r="A142" s="51" t="s">
        <v>323</v>
      </c>
      <c r="B142" s="52">
        <v>2</v>
      </c>
      <c r="C142" s="52">
        <v>0</v>
      </c>
      <c r="D142" s="52">
        <v>0</v>
      </c>
      <c r="E142" s="53">
        <v>2</v>
      </c>
      <c r="F142" s="52">
        <v>56</v>
      </c>
    </row>
    <row r="143" spans="1:6" ht="12.75">
      <c r="A143" s="51" t="s">
        <v>324</v>
      </c>
      <c r="B143" s="52">
        <v>1</v>
      </c>
      <c r="C143" s="52">
        <v>0</v>
      </c>
      <c r="D143" s="52">
        <v>0</v>
      </c>
      <c r="E143" s="53">
        <v>1</v>
      </c>
      <c r="F143" s="52">
        <v>47</v>
      </c>
    </row>
    <row r="144" spans="1:6" ht="12.75">
      <c r="A144" s="51" t="s">
        <v>325</v>
      </c>
      <c r="B144" s="52">
        <v>1</v>
      </c>
      <c r="C144" s="52">
        <v>0</v>
      </c>
      <c r="D144" s="52">
        <v>0</v>
      </c>
      <c r="E144" s="53">
        <v>1</v>
      </c>
      <c r="F144" s="52">
        <v>42</v>
      </c>
    </row>
    <row r="145" spans="1:6" ht="12.75">
      <c r="A145" s="51" t="s">
        <v>326</v>
      </c>
      <c r="B145" s="52">
        <v>1</v>
      </c>
      <c r="C145" s="52">
        <v>0</v>
      </c>
      <c r="D145" s="52">
        <v>0</v>
      </c>
      <c r="E145" s="53">
        <v>1</v>
      </c>
      <c r="F145" s="52">
        <v>56</v>
      </c>
    </row>
    <row r="146" spans="1:6" ht="12.75">
      <c r="A146" s="51" t="s">
        <v>327</v>
      </c>
      <c r="B146" s="52">
        <v>1</v>
      </c>
      <c r="C146" s="52">
        <v>0</v>
      </c>
      <c r="D146" s="52">
        <v>0</v>
      </c>
      <c r="E146" s="53">
        <v>1</v>
      </c>
      <c r="F146" s="52">
        <v>42</v>
      </c>
    </row>
    <row r="147" spans="1:6" ht="12.75">
      <c r="A147" s="51" t="s">
        <v>328</v>
      </c>
      <c r="B147" s="52">
        <v>0</v>
      </c>
      <c r="C147" s="52">
        <v>0</v>
      </c>
      <c r="D147" s="52">
        <v>1</v>
      </c>
      <c r="E147" s="53">
        <v>1</v>
      </c>
      <c r="F147" s="52">
        <v>15</v>
      </c>
    </row>
    <row r="148" spans="1:6" ht="12.75">
      <c r="A148" s="51" t="s">
        <v>329</v>
      </c>
      <c r="B148" s="52">
        <v>1</v>
      </c>
      <c r="C148" s="52">
        <v>0</v>
      </c>
      <c r="D148" s="52">
        <v>0</v>
      </c>
      <c r="E148" s="53">
        <v>1</v>
      </c>
      <c r="F148" s="52">
        <v>42</v>
      </c>
    </row>
    <row r="149" spans="1:6" ht="12.75">
      <c r="A149" s="51" t="s">
        <v>330</v>
      </c>
      <c r="B149" s="52">
        <v>4</v>
      </c>
      <c r="C149" s="52">
        <v>0</v>
      </c>
      <c r="D149" s="52">
        <v>0</v>
      </c>
      <c r="E149" s="53">
        <v>4</v>
      </c>
      <c r="F149" s="52">
        <v>183</v>
      </c>
    </row>
    <row r="150" spans="1:6" ht="12.75">
      <c r="A150" s="51" t="s">
        <v>331</v>
      </c>
      <c r="B150" s="52">
        <v>1</v>
      </c>
      <c r="C150" s="52">
        <v>0</v>
      </c>
      <c r="D150" s="52">
        <v>0</v>
      </c>
      <c r="E150" s="53">
        <v>1</v>
      </c>
      <c r="F150" s="52">
        <v>38</v>
      </c>
    </row>
    <row r="151" spans="1:6" ht="12.75">
      <c r="A151" s="51" t="s">
        <v>332</v>
      </c>
      <c r="B151" s="52">
        <v>2</v>
      </c>
      <c r="C151" s="52">
        <v>0</v>
      </c>
      <c r="D151" s="52">
        <v>0</v>
      </c>
      <c r="E151" s="53">
        <v>2</v>
      </c>
      <c r="F151" s="52">
        <v>90</v>
      </c>
    </row>
    <row r="152" spans="1:6" ht="12.75">
      <c r="A152" s="51" t="s">
        <v>333</v>
      </c>
      <c r="B152" s="52">
        <v>1</v>
      </c>
      <c r="C152" s="52">
        <v>0</v>
      </c>
      <c r="D152" s="52">
        <v>0</v>
      </c>
      <c r="E152" s="53">
        <v>1</v>
      </c>
      <c r="F152" s="52">
        <v>47</v>
      </c>
    </row>
    <row r="153" spans="1:6" ht="12.75">
      <c r="A153" s="51" t="s">
        <v>334</v>
      </c>
      <c r="B153" s="52">
        <v>3</v>
      </c>
      <c r="C153" s="52">
        <v>0</v>
      </c>
      <c r="D153" s="52">
        <v>0</v>
      </c>
      <c r="E153" s="53">
        <v>3</v>
      </c>
      <c r="F153" s="52">
        <v>172</v>
      </c>
    </row>
    <row r="154" spans="1:7" s="23" customFormat="1" ht="17.25" customHeight="1">
      <c r="A154" s="21" t="s">
        <v>224</v>
      </c>
      <c r="B154" s="22">
        <f>SUM(B125:B153)</f>
        <v>67</v>
      </c>
      <c r="C154" s="22">
        <f>SUM(C125:C153)</f>
        <v>1</v>
      </c>
      <c r="D154" s="22">
        <f>SUM(D125:D153)</f>
        <v>2</v>
      </c>
      <c r="E154" s="22">
        <f>SUM(E125:E153)</f>
        <v>70</v>
      </c>
      <c r="F154" s="22">
        <f>SUM(F125:F153)</f>
        <v>3331</v>
      </c>
      <c r="G154" s="11"/>
    </row>
    <row r="157" spans="1:6" s="11" customFormat="1" ht="60.75" customHeight="1">
      <c r="A157" s="24" t="s">
        <v>441</v>
      </c>
      <c r="B157" s="248" t="s">
        <v>406</v>
      </c>
      <c r="C157" s="249"/>
      <c r="D157" s="249"/>
      <c r="E157" s="249"/>
      <c r="F157" s="250"/>
    </row>
    <row r="158" spans="1:6" s="11" customFormat="1" ht="24" customHeight="1">
      <c r="A158" s="268" t="s">
        <v>269</v>
      </c>
      <c r="B158" s="269" t="s">
        <v>260</v>
      </c>
      <c r="C158" s="269"/>
      <c r="D158" s="269"/>
      <c r="E158" s="244" t="s">
        <v>261</v>
      </c>
      <c r="F158" s="244" t="s">
        <v>263</v>
      </c>
    </row>
    <row r="159" spans="1:6" s="11" customFormat="1" ht="31.5">
      <c r="A159" s="268"/>
      <c r="B159" s="18" t="s">
        <v>265</v>
      </c>
      <c r="C159" s="18" t="s">
        <v>267</v>
      </c>
      <c r="D159" s="18" t="s">
        <v>266</v>
      </c>
      <c r="E159" s="247"/>
      <c r="F159" s="247"/>
    </row>
    <row r="160" spans="1:6" ht="12.75">
      <c r="A160" s="51" t="s">
        <v>130</v>
      </c>
      <c r="B160" s="52">
        <v>1</v>
      </c>
      <c r="C160" s="52">
        <v>0</v>
      </c>
      <c r="D160" s="52">
        <v>0</v>
      </c>
      <c r="E160" s="53">
        <v>1</v>
      </c>
      <c r="F160" s="52">
        <v>69</v>
      </c>
    </row>
    <row r="161" spans="1:6" ht="12.75">
      <c r="A161" s="51" t="s">
        <v>129</v>
      </c>
      <c r="B161" s="52">
        <v>1</v>
      </c>
      <c r="C161" s="52">
        <v>0</v>
      </c>
      <c r="D161" s="52">
        <v>0</v>
      </c>
      <c r="E161" s="53">
        <v>1</v>
      </c>
      <c r="F161" s="52">
        <v>71</v>
      </c>
    </row>
    <row r="162" spans="1:6" ht="12.75">
      <c r="A162" s="51" t="s">
        <v>128</v>
      </c>
      <c r="B162" s="52">
        <v>2</v>
      </c>
      <c r="C162" s="52">
        <v>0</v>
      </c>
      <c r="D162" s="52">
        <v>0</v>
      </c>
      <c r="E162" s="53">
        <v>2</v>
      </c>
      <c r="F162" s="52">
        <v>49</v>
      </c>
    </row>
    <row r="163" spans="1:6" ht="12.75">
      <c r="A163" s="51" t="s">
        <v>127</v>
      </c>
      <c r="B163" s="52">
        <v>1</v>
      </c>
      <c r="C163" s="52">
        <v>0</v>
      </c>
      <c r="D163" s="52">
        <v>0</v>
      </c>
      <c r="E163" s="53">
        <v>1</v>
      </c>
      <c r="F163" s="52">
        <v>49</v>
      </c>
    </row>
    <row r="164" spans="1:6" ht="12.75">
      <c r="A164" s="51" t="s">
        <v>126</v>
      </c>
      <c r="B164" s="52">
        <v>1</v>
      </c>
      <c r="C164" s="52">
        <v>0</v>
      </c>
      <c r="D164" s="52">
        <v>0</v>
      </c>
      <c r="E164" s="53">
        <v>1</v>
      </c>
      <c r="F164" s="52">
        <v>38</v>
      </c>
    </row>
    <row r="165" spans="1:6" ht="12.75">
      <c r="A165" s="51" t="s">
        <v>254</v>
      </c>
      <c r="B165" s="52">
        <v>54</v>
      </c>
      <c r="C165" s="52">
        <v>0</v>
      </c>
      <c r="D165" s="52">
        <v>0</v>
      </c>
      <c r="E165" s="53">
        <v>54</v>
      </c>
      <c r="F165" s="52">
        <v>2556</v>
      </c>
    </row>
    <row r="166" spans="1:6" ht="12.75">
      <c r="A166" s="51" t="s">
        <v>125</v>
      </c>
      <c r="B166" s="52">
        <v>1</v>
      </c>
      <c r="C166" s="52">
        <v>0</v>
      </c>
      <c r="D166" s="52">
        <v>0</v>
      </c>
      <c r="E166" s="53">
        <v>1</v>
      </c>
      <c r="F166" s="52">
        <v>40</v>
      </c>
    </row>
    <row r="167" spans="1:6" ht="12.75">
      <c r="A167" s="51" t="s">
        <v>124</v>
      </c>
      <c r="B167" s="52">
        <v>1</v>
      </c>
      <c r="C167" s="52">
        <v>0</v>
      </c>
      <c r="D167" s="52">
        <v>0</v>
      </c>
      <c r="E167" s="53">
        <v>1</v>
      </c>
      <c r="F167" s="52">
        <v>58</v>
      </c>
    </row>
    <row r="168" spans="1:6" ht="12.75">
      <c r="A168" s="51" t="s">
        <v>123</v>
      </c>
      <c r="B168" s="52">
        <v>1</v>
      </c>
      <c r="C168" s="52">
        <v>0</v>
      </c>
      <c r="D168" s="52">
        <v>0</v>
      </c>
      <c r="E168" s="53">
        <v>1</v>
      </c>
      <c r="F168" s="52">
        <v>66</v>
      </c>
    </row>
    <row r="169" spans="1:6" ht="12.75">
      <c r="A169" s="51" t="s">
        <v>122</v>
      </c>
      <c r="B169" s="52">
        <v>6</v>
      </c>
      <c r="C169" s="52">
        <v>0</v>
      </c>
      <c r="D169" s="52">
        <v>0</v>
      </c>
      <c r="E169" s="53">
        <v>6</v>
      </c>
      <c r="F169" s="52">
        <v>298</v>
      </c>
    </row>
    <row r="170" spans="1:6" ht="12.75">
      <c r="A170" s="51" t="s">
        <v>121</v>
      </c>
      <c r="B170" s="52">
        <v>2</v>
      </c>
      <c r="C170" s="52">
        <v>0</v>
      </c>
      <c r="D170" s="52">
        <v>0</v>
      </c>
      <c r="E170" s="53">
        <v>2</v>
      </c>
      <c r="F170" s="52">
        <v>121</v>
      </c>
    </row>
    <row r="171" spans="1:6" ht="12.75">
      <c r="A171" s="51" t="s">
        <v>120</v>
      </c>
      <c r="B171" s="52">
        <v>2</v>
      </c>
      <c r="C171" s="52">
        <v>0</v>
      </c>
      <c r="D171" s="52">
        <v>0</v>
      </c>
      <c r="E171" s="53">
        <v>2</v>
      </c>
      <c r="F171" s="52">
        <v>122</v>
      </c>
    </row>
    <row r="172" spans="1:6" ht="12.75">
      <c r="A172" s="51" t="s">
        <v>119</v>
      </c>
      <c r="B172" s="52">
        <v>1</v>
      </c>
      <c r="C172" s="52">
        <v>0</v>
      </c>
      <c r="D172" s="52">
        <v>0</v>
      </c>
      <c r="E172" s="53">
        <v>1</v>
      </c>
      <c r="F172" s="52">
        <v>44</v>
      </c>
    </row>
    <row r="173" spans="1:6" ht="12.75">
      <c r="A173" s="51" t="s">
        <v>335</v>
      </c>
      <c r="B173" s="52">
        <v>2</v>
      </c>
      <c r="C173" s="52">
        <v>0</v>
      </c>
      <c r="D173" s="52">
        <v>0</v>
      </c>
      <c r="E173" s="53">
        <v>2</v>
      </c>
      <c r="F173" s="52">
        <v>87</v>
      </c>
    </row>
    <row r="174" spans="1:6" ht="12.75">
      <c r="A174" s="51" t="s">
        <v>118</v>
      </c>
      <c r="B174" s="52">
        <v>1</v>
      </c>
      <c r="C174" s="52">
        <v>0</v>
      </c>
      <c r="D174" s="52">
        <v>0</v>
      </c>
      <c r="E174" s="53">
        <v>1</v>
      </c>
      <c r="F174" s="52">
        <v>68</v>
      </c>
    </row>
    <row r="175" spans="1:6" ht="12.75">
      <c r="A175" s="51" t="s">
        <v>117</v>
      </c>
      <c r="B175" s="52">
        <v>1</v>
      </c>
      <c r="C175" s="52">
        <v>0</v>
      </c>
      <c r="D175" s="52">
        <v>0</v>
      </c>
      <c r="E175" s="53">
        <v>1</v>
      </c>
      <c r="F175" s="52">
        <v>56</v>
      </c>
    </row>
    <row r="176" spans="1:6" ht="12.75">
      <c r="A176" s="51" t="s">
        <v>116</v>
      </c>
      <c r="B176" s="52">
        <v>1</v>
      </c>
      <c r="C176" s="52">
        <v>0</v>
      </c>
      <c r="D176" s="52">
        <v>0</v>
      </c>
      <c r="E176" s="53">
        <v>1</v>
      </c>
      <c r="F176" s="52">
        <v>70</v>
      </c>
    </row>
    <row r="177" spans="1:6" ht="12.75">
      <c r="A177" s="51" t="s">
        <v>115</v>
      </c>
      <c r="B177" s="52">
        <v>1</v>
      </c>
      <c r="C177" s="52">
        <v>0</v>
      </c>
      <c r="D177" s="52">
        <v>0</v>
      </c>
      <c r="E177" s="53">
        <v>1</v>
      </c>
      <c r="F177" s="52">
        <v>28</v>
      </c>
    </row>
    <row r="178" spans="1:6" ht="12.75">
      <c r="A178" s="51" t="s">
        <v>114</v>
      </c>
      <c r="B178" s="52">
        <v>1</v>
      </c>
      <c r="C178" s="52">
        <v>0</v>
      </c>
      <c r="D178" s="52">
        <v>0</v>
      </c>
      <c r="E178" s="53">
        <v>1</v>
      </c>
      <c r="F178" s="52">
        <v>53</v>
      </c>
    </row>
    <row r="179" spans="1:6" ht="12.75">
      <c r="A179" s="51" t="s">
        <v>113</v>
      </c>
      <c r="B179" s="52">
        <v>1</v>
      </c>
      <c r="C179" s="52">
        <v>0</v>
      </c>
      <c r="D179" s="52">
        <v>0</v>
      </c>
      <c r="E179" s="53">
        <v>1</v>
      </c>
      <c r="F179" s="52">
        <v>21</v>
      </c>
    </row>
    <row r="180" spans="1:6" ht="12.75">
      <c r="A180" s="51" t="s">
        <v>336</v>
      </c>
      <c r="B180" s="52">
        <v>6</v>
      </c>
      <c r="C180" s="52">
        <v>0</v>
      </c>
      <c r="D180" s="52">
        <v>0</v>
      </c>
      <c r="E180" s="53">
        <v>6</v>
      </c>
      <c r="F180" s="52">
        <v>396</v>
      </c>
    </row>
    <row r="181" spans="1:6" ht="12.75">
      <c r="A181" s="51" t="s">
        <v>112</v>
      </c>
      <c r="B181" s="52">
        <v>2</v>
      </c>
      <c r="C181" s="52">
        <v>0</v>
      </c>
      <c r="D181" s="52">
        <v>0</v>
      </c>
      <c r="E181" s="53">
        <v>2</v>
      </c>
      <c r="F181" s="52">
        <v>48</v>
      </c>
    </row>
    <row r="182" spans="1:6" ht="12.75">
      <c r="A182" s="51" t="s">
        <v>111</v>
      </c>
      <c r="B182" s="52">
        <v>3</v>
      </c>
      <c r="C182" s="52">
        <v>0</v>
      </c>
      <c r="D182" s="52">
        <v>0</v>
      </c>
      <c r="E182" s="53">
        <v>3</v>
      </c>
      <c r="F182" s="52">
        <v>132</v>
      </c>
    </row>
    <row r="183" spans="1:6" ht="12.75">
      <c r="A183" s="51" t="s">
        <v>110</v>
      </c>
      <c r="B183" s="52">
        <v>1</v>
      </c>
      <c r="C183" s="52">
        <v>0</v>
      </c>
      <c r="D183" s="52">
        <v>0</v>
      </c>
      <c r="E183" s="53">
        <v>1</v>
      </c>
      <c r="F183" s="52">
        <v>47</v>
      </c>
    </row>
    <row r="184" spans="1:6" ht="12.75">
      <c r="A184" s="51" t="s">
        <v>109</v>
      </c>
      <c r="B184" s="52">
        <v>2</v>
      </c>
      <c r="C184" s="52">
        <v>0</v>
      </c>
      <c r="D184" s="52">
        <v>0</v>
      </c>
      <c r="E184" s="53">
        <v>2</v>
      </c>
      <c r="F184" s="52">
        <v>90</v>
      </c>
    </row>
    <row r="185" spans="1:6" ht="12.75">
      <c r="A185" s="51" t="s">
        <v>108</v>
      </c>
      <c r="B185" s="52">
        <v>1</v>
      </c>
      <c r="C185" s="52">
        <v>0</v>
      </c>
      <c r="D185" s="52">
        <v>0</v>
      </c>
      <c r="E185" s="53">
        <v>1</v>
      </c>
      <c r="F185" s="52">
        <v>21</v>
      </c>
    </row>
    <row r="186" spans="1:6" ht="12.75">
      <c r="A186" s="51" t="s">
        <v>107</v>
      </c>
      <c r="B186" s="52">
        <v>1</v>
      </c>
      <c r="C186" s="52">
        <v>0</v>
      </c>
      <c r="D186" s="52">
        <v>0</v>
      </c>
      <c r="E186" s="53">
        <v>1</v>
      </c>
      <c r="F186" s="52">
        <v>42</v>
      </c>
    </row>
    <row r="187" spans="1:6" ht="12.75">
      <c r="A187" s="51" t="s">
        <v>106</v>
      </c>
      <c r="B187" s="52">
        <v>1</v>
      </c>
      <c r="C187" s="52">
        <v>0</v>
      </c>
      <c r="D187" s="52">
        <v>0</v>
      </c>
      <c r="E187" s="53">
        <v>1</v>
      </c>
      <c r="F187" s="52">
        <v>34</v>
      </c>
    </row>
    <row r="188" spans="1:6" ht="12.75">
      <c r="A188" s="51" t="s">
        <v>104</v>
      </c>
      <c r="B188" s="52">
        <v>1</v>
      </c>
      <c r="C188" s="52">
        <v>0</v>
      </c>
      <c r="D188" s="52">
        <v>0</v>
      </c>
      <c r="E188" s="53">
        <v>1</v>
      </c>
      <c r="F188" s="52">
        <v>48</v>
      </c>
    </row>
    <row r="189" spans="1:6" ht="12.75">
      <c r="A189" s="51" t="s">
        <v>103</v>
      </c>
      <c r="B189" s="52">
        <v>1</v>
      </c>
      <c r="C189" s="52">
        <v>0</v>
      </c>
      <c r="D189" s="52">
        <v>0</v>
      </c>
      <c r="E189" s="53">
        <v>1</v>
      </c>
      <c r="F189" s="52">
        <v>49</v>
      </c>
    </row>
    <row r="190" spans="1:6" ht="12.75">
      <c r="A190" s="51" t="s">
        <v>102</v>
      </c>
      <c r="B190" s="52">
        <v>1</v>
      </c>
      <c r="C190" s="52">
        <v>0</v>
      </c>
      <c r="D190" s="52">
        <v>0</v>
      </c>
      <c r="E190" s="53">
        <v>1</v>
      </c>
      <c r="F190" s="52">
        <v>32</v>
      </c>
    </row>
    <row r="191" spans="1:6" ht="12.75">
      <c r="A191" s="51" t="s">
        <v>101</v>
      </c>
      <c r="B191" s="52">
        <v>1</v>
      </c>
      <c r="C191" s="52">
        <v>0</v>
      </c>
      <c r="D191" s="52">
        <v>0</v>
      </c>
      <c r="E191" s="53">
        <v>1</v>
      </c>
      <c r="F191" s="52">
        <v>58</v>
      </c>
    </row>
    <row r="192" spans="1:6" ht="12.75">
      <c r="A192" s="51" t="s">
        <v>100</v>
      </c>
      <c r="B192" s="52">
        <v>1</v>
      </c>
      <c r="C192" s="52">
        <v>0</v>
      </c>
      <c r="D192" s="52">
        <v>0</v>
      </c>
      <c r="E192" s="53">
        <v>1</v>
      </c>
      <c r="F192" s="52">
        <v>42</v>
      </c>
    </row>
    <row r="193" spans="1:6" ht="12.75">
      <c r="A193" s="51" t="s">
        <v>99</v>
      </c>
      <c r="B193" s="52">
        <v>3</v>
      </c>
      <c r="C193" s="52">
        <v>0</v>
      </c>
      <c r="D193" s="52">
        <v>0</v>
      </c>
      <c r="E193" s="53">
        <v>3</v>
      </c>
      <c r="F193" s="52">
        <v>188</v>
      </c>
    </row>
    <row r="194" spans="1:6" ht="12.75">
      <c r="A194" s="51" t="s">
        <v>98</v>
      </c>
      <c r="B194" s="52">
        <v>4</v>
      </c>
      <c r="C194" s="52">
        <v>0</v>
      </c>
      <c r="D194" s="52">
        <v>0</v>
      </c>
      <c r="E194" s="53">
        <v>4</v>
      </c>
      <c r="F194" s="52">
        <v>217</v>
      </c>
    </row>
    <row r="195" spans="1:6" ht="12.75">
      <c r="A195" s="51" t="s">
        <v>97</v>
      </c>
      <c r="B195" s="52">
        <v>2</v>
      </c>
      <c r="C195" s="52">
        <v>0</v>
      </c>
      <c r="D195" s="52">
        <v>0</v>
      </c>
      <c r="E195" s="53">
        <v>2</v>
      </c>
      <c r="F195" s="52">
        <v>124</v>
      </c>
    </row>
    <row r="196" spans="1:6" ht="12.75">
      <c r="A196" s="51" t="s">
        <v>242</v>
      </c>
      <c r="B196" s="52">
        <v>1</v>
      </c>
      <c r="C196" s="52">
        <v>0</v>
      </c>
      <c r="D196" s="52">
        <v>0</v>
      </c>
      <c r="E196" s="53">
        <v>1</v>
      </c>
      <c r="F196" s="52">
        <v>69</v>
      </c>
    </row>
    <row r="197" spans="1:6" ht="12.75">
      <c r="A197" s="51" t="s">
        <v>96</v>
      </c>
      <c r="B197" s="52">
        <v>2</v>
      </c>
      <c r="C197" s="52">
        <v>0</v>
      </c>
      <c r="D197" s="52">
        <v>0</v>
      </c>
      <c r="E197" s="53">
        <v>2</v>
      </c>
      <c r="F197" s="52">
        <v>68</v>
      </c>
    </row>
    <row r="198" spans="1:6" ht="12.75">
      <c r="A198" s="51" t="s">
        <v>95</v>
      </c>
      <c r="B198" s="52">
        <v>1</v>
      </c>
      <c r="C198" s="52">
        <v>0</v>
      </c>
      <c r="D198" s="52">
        <v>0</v>
      </c>
      <c r="E198" s="53">
        <v>1</v>
      </c>
      <c r="F198" s="52">
        <v>36</v>
      </c>
    </row>
    <row r="199" spans="1:6" ht="12.75">
      <c r="A199" s="51" t="s">
        <v>241</v>
      </c>
      <c r="B199" s="52">
        <v>4</v>
      </c>
      <c r="C199" s="52">
        <v>0</v>
      </c>
      <c r="D199" s="52">
        <v>0</v>
      </c>
      <c r="E199" s="53">
        <v>4</v>
      </c>
      <c r="F199" s="52">
        <v>156</v>
      </c>
    </row>
    <row r="200" spans="1:7" s="23" customFormat="1" ht="17.25" customHeight="1">
      <c r="A200" s="21" t="s">
        <v>225</v>
      </c>
      <c r="B200" s="22">
        <f>SUM(B160:B199)</f>
        <v>121</v>
      </c>
      <c r="C200" s="22">
        <f>SUM(C160:C199)</f>
        <v>0</v>
      </c>
      <c r="D200" s="22">
        <f>SUM(D160:D199)</f>
        <v>0</v>
      </c>
      <c r="E200" s="22">
        <f>SUM(E160:E199)</f>
        <v>121</v>
      </c>
      <c r="F200" s="22">
        <f>SUM(F160:F199)</f>
        <v>5861</v>
      </c>
      <c r="G200" s="11"/>
    </row>
    <row r="203" spans="1:6" s="11" customFormat="1" ht="60.75" customHeight="1">
      <c r="A203" s="24" t="s">
        <v>441</v>
      </c>
      <c r="B203" s="248" t="s">
        <v>401</v>
      </c>
      <c r="C203" s="249"/>
      <c r="D203" s="249"/>
      <c r="E203" s="249"/>
      <c r="F203" s="250"/>
    </row>
    <row r="204" spans="1:6" s="11" customFormat="1" ht="24" customHeight="1">
      <c r="A204" s="268" t="s">
        <v>269</v>
      </c>
      <c r="B204" s="269" t="s">
        <v>260</v>
      </c>
      <c r="C204" s="269"/>
      <c r="D204" s="269"/>
      <c r="E204" s="244" t="s">
        <v>261</v>
      </c>
      <c r="F204" s="244" t="s">
        <v>263</v>
      </c>
    </row>
    <row r="205" spans="1:6" s="11" customFormat="1" ht="31.5">
      <c r="A205" s="268"/>
      <c r="B205" s="18" t="s">
        <v>265</v>
      </c>
      <c r="C205" s="18" t="s">
        <v>267</v>
      </c>
      <c r="D205" s="18" t="s">
        <v>266</v>
      </c>
      <c r="E205" s="247"/>
      <c r="F205" s="247"/>
    </row>
    <row r="206" spans="1:6" ht="12.75">
      <c r="A206" s="51" t="s">
        <v>159</v>
      </c>
      <c r="B206" s="52">
        <v>1</v>
      </c>
      <c r="C206" s="52">
        <v>0</v>
      </c>
      <c r="D206" s="52">
        <v>0</v>
      </c>
      <c r="E206" s="53">
        <v>1</v>
      </c>
      <c r="F206" s="52">
        <v>36</v>
      </c>
    </row>
    <row r="207" spans="1:6" ht="12.75">
      <c r="A207" s="51" t="s">
        <v>160</v>
      </c>
      <c r="B207" s="52">
        <v>1</v>
      </c>
      <c r="C207" s="52">
        <v>0</v>
      </c>
      <c r="D207" s="52">
        <v>0</v>
      </c>
      <c r="E207" s="53">
        <v>1</v>
      </c>
      <c r="F207" s="52">
        <v>35</v>
      </c>
    </row>
    <row r="208" spans="1:6" ht="12.75">
      <c r="A208" s="51" t="s">
        <v>161</v>
      </c>
      <c r="B208" s="52">
        <v>1</v>
      </c>
      <c r="C208" s="52">
        <v>0</v>
      </c>
      <c r="D208" s="52">
        <v>0</v>
      </c>
      <c r="E208" s="53">
        <v>1</v>
      </c>
      <c r="F208" s="52">
        <v>48</v>
      </c>
    </row>
    <row r="209" spans="1:6" ht="12.75">
      <c r="A209" s="51" t="s">
        <v>162</v>
      </c>
      <c r="B209" s="52">
        <v>3</v>
      </c>
      <c r="C209" s="52">
        <v>0</v>
      </c>
      <c r="D209" s="52">
        <v>0</v>
      </c>
      <c r="E209" s="53">
        <v>3</v>
      </c>
      <c r="F209" s="52">
        <v>168</v>
      </c>
    </row>
    <row r="210" spans="1:6" ht="12.75">
      <c r="A210" s="51" t="s">
        <v>163</v>
      </c>
      <c r="B210" s="52">
        <v>1</v>
      </c>
      <c r="C210" s="52">
        <v>0</v>
      </c>
      <c r="D210" s="52">
        <v>0</v>
      </c>
      <c r="E210" s="53">
        <v>1</v>
      </c>
      <c r="F210" s="52">
        <v>36</v>
      </c>
    </row>
    <row r="211" spans="1:6" ht="12.75">
      <c r="A211" s="51" t="s">
        <v>164</v>
      </c>
      <c r="B211" s="52">
        <v>2</v>
      </c>
      <c r="C211" s="52">
        <v>0</v>
      </c>
      <c r="D211" s="52">
        <v>0</v>
      </c>
      <c r="E211" s="53">
        <v>2</v>
      </c>
      <c r="F211" s="52">
        <v>94</v>
      </c>
    </row>
    <row r="212" spans="1:6" ht="12.75">
      <c r="A212" s="51" t="s">
        <v>255</v>
      </c>
      <c r="B212" s="52">
        <v>14</v>
      </c>
      <c r="C212" s="52">
        <v>0</v>
      </c>
      <c r="D212" s="52">
        <v>0</v>
      </c>
      <c r="E212" s="53">
        <v>14</v>
      </c>
      <c r="F212" s="52">
        <v>767</v>
      </c>
    </row>
    <row r="213" spans="1:6" ht="12.75">
      <c r="A213" s="51" t="s">
        <v>165</v>
      </c>
      <c r="B213" s="52">
        <v>1</v>
      </c>
      <c r="C213" s="52">
        <v>0</v>
      </c>
      <c r="D213" s="52">
        <v>0</v>
      </c>
      <c r="E213" s="53">
        <v>1</v>
      </c>
      <c r="F213" s="52">
        <v>18</v>
      </c>
    </row>
    <row r="214" spans="1:6" ht="12.75">
      <c r="A214" s="51" t="s">
        <v>166</v>
      </c>
      <c r="B214" s="52">
        <v>1</v>
      </c>
      <c r="C214" s="52">
        <v>0</v>
      </c>
      <c r="D214" s="52">
        <v>0</v>
      </c>
      <c r="E214" s="53">
        <v>1</v>
      </c>
      <c r="F214" s="52">
        <v>34</v>
      </c>
    </row>
    <row r="215" spans="1:6" ht="12.75">
      <c r="A215" s="51" t="s">
        <v>167</v>
      </c>
      <c r="B215" s="52">
        <v>1</v>
      </c>
      <c r="C215" s="52">
        <v>0</v>
      </c>
      <c r="D215" s="52">
        <v>0</v>
      </c>
      <c r="E215" s="53">
        <v>1</v>
      </c>
      <c r="F215" s="52">
        <v>40</v>
      </c>
    </row>
    <row r="216" spans="1:6" ht="12.75">
      <c r="A216" s="51" t="s">
        <v>168</v>
      </c>
      <c r="B216" s="52">
        <v>1</v>
      </c>
      <c r="C216" s="52">
        <v>0</v>
      </c>
      <c r="D216" s="52">
        <v>0</v>
      </c>
      <c r="E216" s="53">
        <v>1</v>
      </c>
      <c r="F216" s="52">
        <v>35</v>
      </c>
    </row>
    <row r="217" spans="1:6" ht="12.75">
      <c r="A217" s="51" t="s">
        <v>169</v>
      </c>
      <c r="B217" s="52">
        <v>1</v>
      </c>
      <c r="C217" s="52">
        <v>0</v>
      </c>
      <c r="D217" s="52">
        <v>0</v>
      </c>
      <c r="E217" s="53">
        <v>1</v>
      </c>
      <c r="F217" s="52">
        <v>30</v>
      </c>
    </row>
    <row r="218" spans="1:6" ht="12.75">
      <c r="A218" s="51" t="s">
        <v>154</v>
      </c>
      <c r="B218" s="52">
        <v>1</v>
      </c>
      <c r="C218" s="52">
        <v>0</v>
      </c>
      <c r="D218" s="52">
        <v>0</v>
      </c>
      <c r="E218" s="53">
        <v>1</v>
      </c>
      <c r="F218" s="52">
        <v>50</v>
      </c>
    </row>
    <row r="219" spans="1:6" ht="12.75">
      <c r="A219" s="51" t="s">
        <v>155</v>
      </c>
      <c r="B219" s="52">
        <v>1</v>
      </c>
      <c r="C219" s="52">
        <v>0</v>
      </c>
      <c r="D219" s="52">
        <v>0</v>
      </c>
      <c r="E219" s="53">
        <v>1</v>
      </c>
      <c r="F219" s="52">
        <v>36</v>
      </c>
    </row>
    <row r="220" spans="1:6" ht="12.75">
      <c r="A220" s="51" t="s">
        <v>156</v>
      </c>
      <c r="B220" s="52">
        <v>1</v>
      </c>
      <c r="C220" s="52">
        <v>0</v>
      </c>
      <c r="D220" s="52">
        <v>0</v>
      </c>
      <c r="E220" s="53">
        <v>1</v>
      </c>
      <c r="F220" s="52">
        <v>36</v>
      </c>
    </row>
    <row r="221" spans="1:7" s="23" customFormat="1" ht="17.25" customHeight="1">
      <c r="A221" s="21" t="s">
        <v>226</v>
      </c>
      <c r="B221" s="22">
        <f>SUM(B206:B220)</f>
        <v>31</v>
      </c>
      <c r="C221" s="22">
        <f>SUM(C206:C220)</f>
        <v>0</v>
      </c>
      <c r="D221" s="22">
        <f>SUM(D206:D220)</f>
        <v>0</v>
      </c>
      <c r="E221" s="22">
        <f>SUM(E206:E220)</f>
        <v>31</v>
      </c>
      <c r="F221" s="22">
        <f>SUM(F206:F220)</f>
        <v>1463</v>
      </c>
      <c r="G221" s="11"/>
    </row>
    <row r="223" ht="12.75">
      <c r="A223" s="57" t="s">
        <v>157</v>
      </c>
    </row>
    <row r="226" spans="1:6" s="11" customFormat="1" ht="60.75" customHeight="1">
      <c r="A226" s="24" t="s">
        <v>441</v>
      </c>
      <c r="B226" s="248" t="s">
        <v>414</v>
      </c>
      <c r="C226" s="249"/>
      <c r="D226" s="249"/>
      <c r="E226" s="249"/>
      <c r="F226" s="250"/>
    </row>
    <row r="227" spans="1:6" s="11" customFormat="1" ht="24" customHeight="1">
      <c r="A227" s="268" t="s">
        <v>269</v>
      </c>
      <c r="B227" s="269" t="s">
        <v>260</v>
      </c>
      <c r="C227" s="269"/>
      <c r="D227" s="269"/>
      <c r="E227" s="244" t="s">
        <v>261</v>
      </c>
      <c r="F227" s="244" t="s">
        <v>263</v>
      </c>
    </row>
    <row r="228" spans="1:6" s="11" customFormat="1" ht="31.5">
      <c r="A228" s="268"/>
      <c r="B228" s="18" t="s">
        <v>265</v>
      </c>
      <c r="C228" s="18" t="s">
        <v>267</v>
      </c>
      <c r="D228" s="18" t="s">
        <v>266</v>
      </c>
      <c r="E228" s="247"/>
      <c r="F228" s="247"/>
    </row>
    <row r="229" spans="1:6" ht="12.75">
      <c r="A229" s="51" t="s">
        <v>337</v>
      </c>
      <c r="B229" s="52">
        <v>1</v>
      </c>
      <c r="C229" s="52">
        <v>0</v>
      </c>
      <c r="D229" s="52">
        <v>0</v>
      </c>
      <c r="E229" s="53">
        <f>SUM(B229:D229)</f>
        <v>1</v>
      </c>
      <c r="F229" s="52">
        <v>85</v>
      </c>
    </row>
    <row r="230" spans="1:6" ht="12.75">
      <c r="A230" s="51" t="s">
        <v>338</v>
      </c>
      <c r="B230" s="52">
        <v>2</v>
      </c>
      <c r="C230" s="52">
        <v>0</v>
      </c>
      <c r="D230" s="52">
        <v>0</v>
      </c>
      <c r="E230" s="53">
        <f aca="true" t="shared" si="3" ref="E230:E240">SUM(B230:D230)</f>
        <v>2</v>
      </c>
      <c r="F230" s="52">
        <v>112</v>
      </c>
    </row>
    <row r="231" spans="1:6" ht="12.75">
      <c r="A231" s="51" t="s">
        <v>237</v>
      </c>
      <c r="B231" s="52">
        <v>1</v>
      </c>
      <c r="C231" s="52">
        <v>0</v>
      </c>
      <c r="D231" s="52">
        <v>0</v>
      </c>
      <c r="E231" s="53">
        <f t="shared" si="3"/>
        <v>1</v>
      </c>
      <c r="F231" s="52">
        <v>25</v>
      </c>
    </row>
    <row r="232" spans="1:6" ht="12.75">
      <c r="A232" s="51" t="s">
        <v>339</v>
      </c>
      <c r="B232" s="52">
        <v>1</v>
      </c>
      <c r="C232" s="52">
        <v>0</v>
      </c>
      <c r="D232" s="52">
        <v>0</v>
      </c>
      <c r="E232" s="53">
        <f t="shared" si="3"/>
        <v>1</v>
      </c>
      <c r="F232" s="52">
        <v>52</v>
      </c>
    </row>
    <row r="233" spans="1:6" ht="12.75">
      <c r="A233" s="51" t="s">
        <v>236</v>
      </c>
      <c r="B233" s="52">
        <v>2</v>
      </c>
      <c r="C233" s="52">
        <v>0</v>
      </c>
      <c r="D233" s="52">
        <v>0</v>
      </c>
      <c r="E233" s="53">
        <f t="shared" si="3"/>
        <v>2</v>
      </c>
      <c r="F233" s="52">
        <v>83</v>
      </c>
    </row>
    <row r="234" spans="1:6" ht="12.75">
      <c r="A234" s="51" t="s">
        <v>235</v>
      </c>
      <c r="B234" s="52">
        <v>1</v>
      </c>
      <c r="C234" s="52">
        <v>0</v>
      </c>
      <c r="D234" s="52">
        <v>0</v>
      </c>
      <c r="E234" s="53">
        <f t="shared" si="3"/>
        <v>1</v>
      </c>
      <c r="F234" s="52">
        <v>36</v>
      </c>
    </row>
    <row r="235" spans="1:6" ht="12.75">
      <c r="A235" s="51" t="s">
        <v>234</v>
      </c>
      <c r="B235" s="52">
        <v>1</v>
      </c>
      <c r="C235" s="52">
        <v>0</v>
      </c>
      <c r="D235" s="52">
        <v>0</v>
      </c>
      <c r="E235" s="53">
        <f t="shared" si="3"/>
        <v>1</v>
      </c>
      <c r="F235" s="52">
        <v>53</v>
      </c>
    </row>
    <row r="236" spans="1:6" ht="12.75">
      <c r="A236" s="51" t="s">
        <v>233</v>
      </c>
      <c r="B236" s="52">
        <v>2</v>
      </c>
      <c r="C236" s="52">
        <v>0</v>
      </c>
      <c r="D236" s="52">
        <v>0</v>
      </c>
      <c r="E236" s="53">
        <f t="shared" si="3"/>
        <v>2</v>
      </c>
      <c r="F236" s="52">
        <v>94</v>
      </c>
    </row>
    <row r="237" spans="1:6" ht="12.75">
      <c r="A237" s="51" t="s">
        <v>232</v>
      </c>
      <c r="B237" s="52">
        <v>1</v>
      </c>
      <c r="C237" s="52">
        <v>0</v>
      </c>
      <c r="D237" s="52">
        <v>1</v>
      </c>
      <c r="E237" s="53">
        <f t="shared" si="3"/>
        <v>2</v>
      </c>
      <c r="F237" s="52">
        <v>85</v>
      </c>
    </row>
    <row r="238" spans="1:6" ht="12.75">
      <c r="A238" s="51" t="s">
        <v>256</v>
      </c>
      <c r="B238" s="52">
        <v>10</v>
      </c>
      <c r="C238" s="52">
        <v>0</v>
      </c>
      <c r="D238" s="52">
        <v>0</v>
      </c>
      <c r="E238" s="53">
        <f t="shared" si="3"/>
        <v>10</v>
      </c>
      <c r="F238" s="52">
        <v>486</v>
      </c>
    </row>
    <row r="239" spans="1:6" ht="12.75">
      <c r="A239" s="51" t="s">
        <v>231</v>
      </c>
      <c r="B239" s="52">
        <v>1</v>
      </c>
      <c r="C239" s="52">
        <v>0</v>
      </c>
      <c r="D239" s="52">
        <v>0</v>
      </c>
      <c r="E239" s="53">
        <f t="shared" si="3"/>
        <v>1</v>
      </c>
      <c r="F239" s="52">
        <v>28</v>
      </c>
    </row>
    <row r="240" spans="1:6" ht="12.75">
      <c r="A240" s="51" t="s">
        <v>340</v>
      </c>
      <c r="B240" s="52">
        <v>1</v>
      </c>
      <c r="C240" s="52">
        <v>0</v>
      </c>
      <c r="D240" s="52">
        <v>0</v>
      </c>
      <c r="E240" s="53">
        <f t="shared" si="3"/>
        <v>1</v>
      </c>
      <c r="F240" s="52">
        <v>67</v>
      </c>
    </row>
    <row r="241" spans="1:7" s="23" customFormat="1" ht="17.25" customHeight="1">
      <c r="A241" s="21" t="s">
        <v>182</v>
      </c>
      <c r="B241" s="22">
        <f>SUM(B229:B240)</f>
        <v>24</v>
      </c>
      <c r="C241" s="22">
        <f>SUM(C229:C240)</f>
        <v>0</v>
      </c>
      <c r="D241" s="22">
        <f>SUM(D229:D240)</f>
        <v>1</v>
      </c>
      <c r="E241" s="22">
        <f>SUM(E229:E240)</f>
        <v>25</v>
      </c>
      <c r="F241" s="22">
        <f>SUM(F229:F240)</f>
        <v>1206</v>
      </c>
      <c r="G241" s="11"/>
    </row>
    <row r="242" spans="7:9" ht="12.75">
      <c r="G242" s="11"/>
      <c r="H242" s="11"/>
      <c r="I242" s="11"/>
    </row>
    <row r="244" spans="1:6" s="11" customFormat="1" ht="60.75" customHeight="1">
      <c r="A244" s="24" t="s">
        <v>441</v>
      </c>
      <c r="B244" s="248" t="s">
        <v>415</v>
      </c>
      <c r="C244" s="249"/>
      <c r="D244" s="249"/>
      <c r="E244" s="249"/>
      <c r="F244" s="250"/>
    </row>
    <row r="245" spans="1:6" s="11" customFormat="1" ht="24" customHeight="1">
      <c r="A245" s="268" t="s">
        <v>269</v>
      </c>
      <c r="B245" s="269" t="s">
        <v>260</v>
      </c>
      <c r="C245" s="269"/>
      <c r="D245" s="269"/>
      <c r="E245" s="244" t="s">
        <v>261</v>
      </c>
      <c r="F245" s="244" t="s">
        <v>263</v>
      </c>
    </row>
    <row r="246" spans="1:6" s="11" customFormat="1" ht="31.5">
      <c r="A246" s="268"/>
      <c r="B246" s="18" t="s">
        <v>265</v>
      </c>
      <c r="C246" s="18" t="s">
        <v>267</v>
      </c>
      <c r="D246" s="18" t="s">
        <v>266</v>
      </c>
      <c r="E246" s="247"/>
      <c r="F246" s="247"/>
    </row>
    <row r="247" spans="1:6" ht="12.75">
      <c r="A247" s="51" t="s">
        <v>341</v>
      </c>
      <c r="B247" s="52">
        <v>0</v>
      </c>
      <c r="C247" s="52">
        <v>0</v>
      </c>
      <c r="D247" s="52">
        <v>1</v>
      </c>
      <c r="E247" s="53">
        <v>1</v>
      </c>
      <c r="F247" s="52">
        <v>27</v>
      </c>
    </row>
    <row r="248" spans="1:6" ht="21.75">
      <c r="A248" s="51" t="s">
        <v>153</v>
      </c>
      <c r="B248" s="52">
        <v>1</v>
      </c>
      <c r="C248" s="52">
        <v>0</v>
      </c>
      <c r="D248" s="52">
        <v>0</v>
      </c>
      <c r="E248" s="53">
        <v>1</v>
      </c>
      <c r="F248" s="52">
        <v>28</v>
      </c>
    </row>
    <row r="249" spans="1:6" ht="12.75">
      <c r="A249" s="51" t="s">
        <v>152</v>
      </c>
      <c r="B249" s="52">
        <v>7</v>
      </c>
      <c r="C249" s="52">
        <v>0</v>
      </c>
      <c r="D249" s="52">
        <v>0</v>
      </c>
      <c r="E249" s="53">
        <v>7</v>
      </c>
      <c r="F249" s="52">
        <v>337</v>
      </c>
    </row>
    <row r="250" spans="1:6" ht="12.75">
      <c r="A250" s="51" t="s">
        <v>151</v>
      </c>
      <c r="B250" s="52">
        <v>1</v>
      </c>
      <c r="C250" s="52">
        <v>0</v>
      </c>
      <c r="D250" s="52">
        <v>0</v>
      </c>
      <c r="E250" s="53">
        <v>1</v>
      </c>
      <c r="F250" s="52">
        <v>42</v>
      </c>
    </row>
    <row r="251" spans="1:6" ht="12.75">
      <c r="A251" s="51" t="s">
        <v>150</v>
      </c>
      <c r="B251" s="52">
        <v>9</v>
      </c>
      <c r="C251" s="52">
        <v>0</v>
      </c>
      <c r="D251" s="52">
        <v>0</v>
      </c>
      <c r="E251" s="53">
        <v>9</v>
      </c>
      <c r="F251" s="52">
        <v>503</v>
      </c>
    </row>
    <row r="252" spans="1:6" ht="12.75">
      <c r="A252" s="51" t="s">
        <v>149</v>
      </c>
      <c r="B252" s="52">
        <v>1</v>
      </c>
      <c r="C252" s="52">
        <v>0</v>
      </c>
      <c r="D252" s="52">
        <v>0</v>
      </c>
      <c r="E252" s="53">
        <v>1</v>
      </c>
      <c r="F252" s="52">
        <v>40</v>
      </c>
    </row>
    <row r="253" spans="1:6" ht="12.75">
      <c r="A253" s="51" t="s">
        <v>148</v>
      </c>
      <c r="B253" s="52">
        <v>1</v>
      </c>
      <c r="C253" s="52">
        <v>0</v>
      </c>
      <c r="D253" s="52">
        <v>0</v>
      </c>
      <c r="E253" s="53">
        <v>1</v>
      </c>
      <c r="F253" s="52">
        <v>44</v>
      </c>
    </row>
    <row r="254" spans="1:6" ht="12.75">
      <c r="A254" s="51" t="s">
        <v>147</v>
      </c>
      <c r="B254" s="52">
        <v>1</v>
      </c>
      <c r="C254" s="52">
        <v>0</v>
      </c>
      <c r="D254" s="52">
        <v>0</v>
      </c>
      <c r="E254" s="53">
        <v>1</v>
      </c>
      <c r="F254" s="52">
        <v>18</v>
      </c>
    </row>
    <row r="255" spans="1:6" ht="12.75">
      <c r="A255" s="51" t="s">
        <v>146</v>
      </c>
      <c r="B255" s="52">
        <v>1</v>
      </c>
      <c r="C255" s="52">
        <v>0</v>
      </c>
      <c r="D255" s="52">
        <v>0</v>
      </c>
      <c r="E255" s="53">
        <v>1</v>
      </c>
      <c r="F255" s="52">
        <v>44</v>
      </c>
    </row>
    <row r="256" spans="1:6" ht="12.75">
      <c r="A256" s="51" t="s">
        <v>145</v>
      </c>
      <c r="B256" s="52">
        <v>1</v>
      </c>
      <c r="C256" s="52">
        <v>0</v>
      </c>
      <c r="D256" s="52">
        <v>0</v>
      </c>
      <c r="E256" s="53">
        <v>1</v>
      </c>
      <c r="F256" s="52">
        <v>39</v>
      </c>
    </row>
    <row r="257" spans="1:6" ht="12.75">
      <c r="A257" s="51" t="s">
        <v>144</v>
      </c>
      <c r="B257" s="52">
        <v>1</v>
      </c>
      <c r="C257" s="52">
        <v>0</v>
      </c>
      <c r="D257" s="52">
        <v>0</v>
      </c>
      <c r="E257" s="53">
        <v>1</v>
      </c>
      <c r="F257" s="52">
        <v>62</v>
      </c>
    </row>
    <row r="258" spans="1:8" s="23" customFormat="1" ht="17.25" customHeight="1">
      <c r="A258" s="21" t="s">
        <v>183</v>
      </c>
      <c r="B258" s="22">
        <f>SUM(B247:B257)</f>
        <v>24</v>
      </c>
      <c r="C258" s="22">
        <f>SUM(C247:C257)</f>
        <v>0</v>
      </c>
      <c r="D258" s="22">
        <f>SUM(D247:D257)</f>
        <v>1</v>
      </c>
      <c r="E258" s="22">
        <f>SUM(E247:E257)</f>
        <v>25</v>
      </c>
      <c r="F258" s="22">
        <f>SUM(F247:F257)</f>
        <v>1184</v>
      </c>
      <c r="G258" s="11"/>
      <c r="H258" s="11"/>
    </row>
    <row r="259" spans="7:9" ht="12.75">
      <c r="G259" s="11"/>
      <c r="H259" s="11"/>
      <c r="I259" s="11"/>
    </row>
    <row r="260" spans="7:9" ht="12.75">
      <c r="G260" s="11"/>
      <c r="H260" s="11"/>
      <c r="I260" s="11"/>
    </row>
    <row r="261" spans="1:6" s="11" customFormat="1" ht="60.75" customHeight="1">
      <c r="A261" s="24" t="s">
        <v>441</v>
      </c>
      <c r="B261" s="248" t="s">
        <v>425</v>
      </c>
      <c r="C261" s="249"/>
      <c r="D261" s="249"/>
      <c r="E261" s="249"/>
      <c r="F261" s="250"/>
    </row>
    <row r="262" spans="1:6" s="11" customFormat="1" ht="24" customHeight="1">
      <c r="A262" s="268" t="s">
        <v>269</v>
      </c>
      <c r="B262" s="269" t="s">
        <v>260</v>
      </c>
      <c r="C262" s="269"/>
      <c r="D262" s="269"/>
      <c r="E262" s="244" t="s">
        <v>261</v>
      </c>
      <c r="F262" s="244" t="s">
        <v>263</v>
      </c>
    </row>
    <row r="263" spans="1:6" s="11" customFormat="1" ht="31.5">
      <c r="A263" s="268"/>
      <c r="B263" s="18" t="s">
        <v>265</v>
      </c>
      <c r="C263" s="18" t="s">
        <v>267</v>
      </c>
      <c r="D263" s="18" t="s">
        <v>266</v>
      </c>
      <c r="E263" s="247"/>
      <c r="F263" s="247"/>
    </row>
    <row r="264" spans="1:6" ht="12.75">
      <c r="A264" s="51" t="s">
        <v>342</v>
      </c>
      <c r="B264" s="52">
        <v>1</v>
      </c>
      <c r="C264" s="52">
        <v>0</v>
      </c>
      <c r="D264" s="52">
        <v>0</v>
      </c>
      <c r="E264" s="53">
        <v>1</v>
      </c>
      <c r="F264" s="52">
        <v>78</v>
      </c>
    </row>
    <row r="265" spans="1:6" ht="12.75">
      <c r="A265" s="51" t="s">
        <v>343</v>
      </c>
      <c r="B265" s="52">
        <v>1</v>
      </c>
      <c r="C265" s="52">
        <v>0</v>
      </c>
      <c r="D265" s="52">
        <v>0</v>
      </c>
      <c r="E265" s="53">
        <v>1</v>
      </c>
      <c r="F265" s="52">
        <v>80</v>
      </c>
    </row>
    <row r="266" spans="1:6" ht="12.75">
      <c r="A266" s="51" t="s">
        <v>345</v>
      </c>
      <c r="B266" s="52">
        <v>1</v>
      </c>
      <c r="C266" s="52">
        <v>0</v>
      </c>
      <c r="D266" s="52">
        <v>0</v>
      </c>
      <c r="E266" s="53">
        <v>1</v>
      </c>
      <c r="F266" s="52">
        <v>62</v>
      </c>
    </row>
    <row r="267" spans="1:6" ht="12.75">
      <c r="A267" s="51" t="s">
        <v>346</v>
      </c>
      <c r="B267" s="52">
        <v>0</v>
      </c>
      <c r="C267" s="52">
        <v>1</v>
      </c>
      <c r="D267" s="52">
        <v>0</v>
      </c>
      <c r="E267" s="53">
        <v>1</v>
      </c>
      <c r="F267" s="52">
        <v>9</v>
      </c>
    </row>
    <row r="268" spans="1:6" ht="12.75">
      <c r="A268" s="51" t="s">
        <v>348</v>
      </c>
      <c r="B268" s="52">
        <v>4</v>
      </c>
      <c r="C268" s="52">
        <v>0</v>
      </c>
      <c r="D268" s="52">
        <v>0</v>
      </c>
      <c r="E268" s="53">
        <v>4</v>
      </c>
      <c r="F268" s="52">
        <v>235</v>
      </c>
    </row>
    <row r="269" spans="1:6" ht="12.75">
      <c r="A269" s="51" t="s">
        <v>258</v>
      </c>
      <c r="B269" s="52">
        <v>9</v>
      </c>
      <c r="C269" s="52">
        <v>0</v>
      </c>
      <c r="D269" s="52">
        <v>2</v>
      </c>
      <c r="E269" s="53">
        <v>11</v>
      </c>
      <c r="F269" s="52">
        <v>486</v>
      </c>
    </row>
    <row r="270" spans="1:6" ht="12.75">
      <c r="A270" s="51" t="s">
        <v>350</v>
      </c>
      <c r="B270" s="52">
        <v>1</v>
      </c>
      <c r="C270" s="52">
        <v>0</v>
      </c>
      <c r="D270" s="52">
        <v>0</v>
      </c>
      <c r="E270" s="53">
        <v>1</v>
      </c>
      <c r="F270" s="52">
        <v>68</v>
      </c>
    </row>
    <row r="271" spans="1:6" ht="12.75">
      <c r="A271" s="51" t="s">
        <v>351</v>
      </c>
      <c r="B271" s="52">
        <v>1</v>
      </c>
      <c r="C271" s="52">
        <v>0</v>
      </c>
      <c r="D271" s="52">
        <v>0</v>
      </c>
      <c r="E271" s="53">
        <v>1</v>
      </c>
      <c r="F271" s="52">
        <v>52</v>
      </c>
    </row>
    <row r="272" spans="1:7" s="23" customFormat="1" ht="17.25" customHeight="1">
      <c r="A272" s="21" t="s">
        <v>184</v>
      </c>
      <c r="B272" s="22">
        <f>SUM(B264:B271)</f>
        <v>18</v>
      </c>
      <c r="C272" s="22">
        <f>SUM(C264:C271)</f>
        <v>1</v>
      </c>
      <c r="D272" s="22">
        <f>SUM(D264:D271)</f>
        <v>2</v>
      </c>
      <c r="E272" s="22">
        <f>SUM(E264:E271)</f>
        <v>21</v>
      </c>
      <c r="F272" s="22">
        <f>SUM(F264:F271)</f>
        <v>1070</v>
      </c>
      <c r="G272" s="11"/>
    </row>
    <row r="273" spans="7:9" ht="12.75">
      <c r="G273" s="11"/>
      <c r="H273" s="11"/>
      <c r="I273" s="11"/>
    </row>
    <row r="274" ht="12.75">
      <c r="A274" s="37" t="s">
        <v>276</v>
      </c>
    </row>
  </sheetData>
  <mergeCells count="53">
    <mergeCell ref="A262:A263"/>
    <mergeCell ref="B262:D262"/>
    <mergeCell ref="F262:F263"/>
    <mergeCell ref="B261:F261"/>
    <mergeCell ref="E262:E263"/>
    <mergeCell ref="A245:A246"/>
    <mergeCell ref="B245:D245"/>
    <mergeCell ref="F245:F246"/>
    <mergeCell ref="B244:F244"/>
    <mergeCell ref="E245:E246"/>
    <mergeCell ref="A227:A228"/>
    <mergeCell ref="B227:D227"/>
    <mergeCell ref="F227:F228"/>
    <mergeCell ref="B226:F226"/>
    <mergeCell ref="E227:E228"/>
    <mergeCell ref="B203:F203"/>
    <mergeCell ref="A204:A205"/>
    <mergeCell ref="B204:D204"/>
    <mergeCell ref="F204:F205"/>
    <mergeCell ref="E204:E205"/>
    <mergeCell ref="E158:E159"/>
    <mergeCell ref="A158:A159"/>
    <mergeCell ref="B158:D158"/>
    <mergeCell ref="F158:F159"/>
    <mergeCell ref="A123:A124"/>
    <mergeCell ref="B123:D123"/>
    <mergeCell ref="F123:F124"/>
    <mergeCell ref="B157:F157"/>
    <mergeCell ref="B65:F65"/>
    <mergeCell ref="A89:A90"/>
    <mergeCell ref="B89:D89"/>
    <mergeCell ref="F89:F90"/>
    <mergeCell ref="B88:F88"/>
    <mergeCell ref="E89:E90"/>
    <mergeCell ref="A66:A67"/>
    <mergeCell ref="B66:D66"/>
    <mergeCell ref="F66:F67"/>
    <mergeCell ref="E66:E67"/>
    <mergeCell ref="B1:H1"/>
    <mergeCell ref="B3:D3"/>
    <mergeCell ref="A3:A4"/>
    <mergeCell ref="E3:E4"/>
    <mergeCell ref="F3:F4"/>
    <mergeCell ref="B122:F122"/>
    <mergeCell ref="E123:E124"/>
    <mergeCell ref="G3:G4"/>
    <mergeCell ref="H3:H4"/>
    <mergeCell ref="A48:H48"/>
    <mergeCell ref="A51:A52"/>
    <mergeCell ref="F51:F52"/>
    <mergeCell ref="B51:D51"/>
    <mergeCell ref="E51:E52"/>
    <mergeCell ref="B50:F50"/>
  </mergeCells>
  <printOptions horizontalCentered="1"/>
  <pageMargins left="0.1968503937007874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&amp;C&amp;8&amp;P</oddFooter>
  </headerFooter>
  <rowBreaks count="7" manualBreakCount="7">
    <brk id="49" max="255" man="1"/>
    <brk id="87" max="255" man="1"/>
    <brk id="121" max="255" man="1"/>
    <brk id="156" max="255" man="1"/>
    <brk id="202" max="255" man="1"/>
    <brk id="225" max="255" man="1"/>
    <brk id="26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9"/>
  <sheetViews>
    <sheetView zoomScale="75" zoomScaleNormal="75" workbookViewId="0" topLeftCell="A1">
      <selection activeCell="L35" sqref="L35"/>
    </sheetView>
  </sheetViews>
  <sheetFormatPr defaultColWidth="9.140625" defaultRowHeight="12.75"/>
  <cols>
    <col min="1" max="1" width="26.00390625" style="50" customWidth="1"/>
    <col min="2" max="3" width="9.140625" style="50" customWidth="1"/>
    <col min="4" max="4" width="11.7109375" style="50" customWidth="1"/>
    <col min="5" max="5" width="9.140625" style="50" customWidth="1"/>
    <col min="6" max="6" width="11.00390625" style="50" customWidth="1"/>
    <col min="7" max="7" width="9.28125" style="50" bestFit="1" customWidth="1"/>
    <col min="8" max="8" width="11.8515625" style="50" bestFit="1" customWidth="1"/>
    <col min="9" max="16384" width="9.140625" style="50" customWidth="1"/>
  </cols>
  <sheetData>
    <row r="1" spans="1:8" s="2" customFormat="1" ht="48" customHeight="1">
      <c r="A1" s="1" t="s">
        <v>442</v>
      </c>
      <c r="B1" s="237" t="s">
        <v>364</v>
      </c>
      <c r="C1" s="238"/>
      <c r="D1" s="238"/>
      <c r="E1" s="238"/>
      <c r="F1" s="238"/>
      <c r="G1" s="238"/>
      <c r="H1" s="252"/>
    </row>
    <row r="3" spans="1:8" s="2" customFormat="1" ht="24" customHeight="1">
      <c r="A3" s="255" t="s">
        <v>185</v>
      </c>
      <c r="B3" s="265" t="s">
        <v>260</v>
      </c>
      <c r="C3" s="265"/>
      <c r="D3" s="265"/>
      <c r="E3" s="262" t="s">
        <v>261</v>
      </c>
      <c r="F3" s="262" t="s">
        <v>262</v>
      </c>
      <c r="G3" s="270" t="s">
        <v>263</v>
      </c>
      <c r="H3" s="262" t="s">
        <v>264</v>
      </c>
    </row>
    <row r="4" spans="1:8" s="2" customFormat="1" ht="33.75">
      <c r="A4" s="256"/>
      <c r="B4" s="5" t="s">
        <v>265</v>
      </c>
      <c r="C4" s="5" t="s">
        <v>267</v>
      </c>
      <c r="D4" s="5" t="s">
        <v>266</v>
      </c>
      <c r="E4" s="262"/>
      <c r="F4" s="262"/>
      <c r="G4" s="270"/>
      <c r="H4" s="262"/>
    </row>
    <row r="5" spans="1:8" s="42" customFormat="1" ht="12.75">
      <c r="A5" s="3" t="s">
        <v>250</v>
      </c>
      <c r="B5" s="39">
        <f>B55</f>
        <v>3</v>
      </c>
      <c r="C5" s="40">
        <f>C55</f>
        <v>2</v>
      </c>
      <c r="D5" s="40">
        <f>D55</f>
        <v>0</v>
      </c>
      <c r="E5" s="41">
        <f>E55</f>
        <v>5</v>
      </c>
      <c r="F5" s="47">
        <f>E5/$E$14*100</f>
        <v>4.310344827586207</v>
      </c>
      <c r="G5" s="39">
        <f>F55</f>
        <v>109</v>
      </c>
      <c r="H5" s="49">
        <f>G5/$G$14*100</f>
        <v>2.6834071885770556</v>
      </c>
    </row>
    <row r="6" spans="1:8" s="42" customFormat="1" ht="12.75">
      <c r="A6" s="3" t="s">
        <v>251</v>
      </c>
      <c r="B6" s="39">
        <f>B69</f>
        <v>10</v>
      </c>
      <c r="C6" s="40">
        <f>C69</f>
        <v>1</v>
      </c>
      <c r="D6" s="40">
        <f>D69</f>
        <v>0</v>
      </c>
      <c r="E6" s="41">
        <f>E69</f>
        <v>11</v>
      </c>
      <c r="F6" s="47">
        <f aca="true" t="shared" si="0" ref="F6:F13">E6/$E$14*100</f>
        <v>9.482758620689655</v>
      </c>
      <c r="G6" s="39">
        <f>F69</f>
        <v>401</v>
      </c>
      <c r="H6" s="49">
        <f aca="true" t="shared" si="1" ref="H6:H14">G6/$G$14*100</f>
        <v>9.871984244214673</v>
      </c>
    </row>
    <row r="7" spans="1:8" s="42" customFormat="1" ht="12.75">
      <c r="A7" s="3" t="s">
        <v>252</v>
      </c>
      <c r="B7" s="39">
        <f>B82</f>
        <v>15</v>
      </c>
      <c r="C7" s="40">
        <f>C82</f>
        <v>1</v>
      </c>
      <c r="D7" s="40">
        <f>D82</f>
        <v>5</v>
      </c>
      <c r="E7" s="41">
        <f>E82</f>
        <v>21</v>
      </c>
      <c r="F7" s="47">
        <f t="shared" si="0"/>
        <v>18.103448275862068</v>
      </c>
      <c r="G7" s="39">
        <f>F82</f>
        <v>803</v>
      </c>
      <c r="H7" s="49">
        <f t="shared" si="1"/>
        <v>19.768586903003445</v>
      </c>
    </row>
    <row r="8" spans="1:8" s="42" customFormat="1" ht="12.75">
      <c r="A8" s="3" t="s">
        <v>253</v>
      </c>
      <c r="B8" s="39">
        <f>B96</f>
        <v>25</v>
      </c>
      <c r="C8" s="40">
        <f>C96</f>
        <v>1</v>
      </c>
      <c r="D8" s="40">
        <f>D96</f>
        <v>0</v>
      </c>
      <c r="E8" s="41">
        <f>E96</f>
        <v>26</v>
      </c>
      <c r="F8" s="47">
        <f t="shared" si="0"/>
        <v>22.413793103448278</v>
      </c>
      <c r="G8" s="39">
        <f>F96</f>
        <v>830</v>
      </c>
      <c r="H8" s="49">
        <f t="shared" si="1"/>
        <v>20.433284096504185</v>
      </c>
    </row>
    <row r="9" spans="1:8" s="42" customFormat="1" ht="12.75">
      <c r="A9" s="3" t="s">
        <v>254</v>
      </c>
      <c r="B9" s="39">
        <f>B118</f>
        <v>18</v>
      </c>
      <c r="C9" s="40">
        <f>C118</f>
        <v>2</v>
      </c>
      <c r="D9" s="40">
        <f>D118</f>
        <v>2</v>
      </c>
      <c r="E9" s="41">
        <f>E118</f>
        <v>22</v>
      </c>
      <c r="F9" s="47">
        <f t="shared" si="0"/>
        <v>18.96551724137931</v>
      </c>
      <c r="G9" s="39">
        <f>F118</f>
        <v>793</v>
      </c>
      <c r="H9" s="49">
        <f t="shared" si="1"/>
        <v>19.522402757262434</v>
      </c>
    </row>
    <row r="10" spans="1:8" s="42" customFormat="1" ht="12.75">
      <c r="A10" s="3" t="s">
        <v>255</v>
      </c>
      <c r="B10" s="39">
        <f>B129</f>
        <v>4</v>
      </c>
      <c r="C10" s="40">
        <f>C129</f>
        <v>0</v>
      </c>
      <c r="D10" s="40">
        <f>D129</f>
        <v>0</v>
      </c>
      <c r="E10" s="41">
        <f>E129</f>
        <v>4</v>
      </c>
      <c r="F10" s="47">
        <f t="shared" si="0"/>
        <v>3.4482758620689653</v>
      </c>
      <c r="G10" s="39">
        <f>F129</f>
        <v>108</v>
      </c>
      <c r="H10" s="49">
        <f t="shared" si="1"/>
        <v>2.658788774002954</v>
      </c>
    </row>
    <row r="11" spans="1:8" s="42" customFormat="1" ht="12.75">
      <c r="A11" s="3" t="s">
        <v>256</v>
      </c>
      <c r="B11" s="39">
        <f>B141</f>
        <v>12</v>
      </c>
      <c r="C11" s="40">
        <f>C141</f>
        <v>0</v>
      </c>
      <c r="D11" s="40">
        <f>D141</f>
        <v>0</v>
      </c>
      <c r="E11" s="41">
        <f>E141</f>
        <v>12</v>
      </c>
      <c r="F11" s="47">
        <f t="shared" si="0"/>
        <v>10.344827586206897</v>
      </c>
      <c r="G11" s="39">
        <f>F141</f>
        <v>570</v>
      </c>
      <c r="H11" s="49">
        <f t="shared" si="1"/>
        <v>14.032496307237812</v>
      </c>
    </row>
    <row r="12" spans="1:8" s="42" customFormat="1" ht="12.75">
      <c r="A12" s="3" t="s">
        <v>257</v>
      </c>
      <c r="B12" s="39">
        <f>B157</f>
        <v>9</v>
      </c>
      <c r="C12" s="40">
        <f>C157</f>
        <v>2</v>
      </c>
      <c r="D12" s="40">
        <f>D157</f>
        <v>0</v>
      </c>
      <c r="E12" s="41">
        <f>E157</f>
        <v>11</v>
      </c>
      <c r="F12" s="47">
        <f t="shared" si="0"/>
        <v>9.482758620689655</v>
      </c>
      <c r="G12" s="39">
        <f>F157</f>
        <v>322</v>
      </c>
      <c r="H12" s="49">
        <f t="shared" si="1"/>
        <v>7.92712949286066</v>
      </c>
    </row>
    <row r="13" spans="1:8" s="42" customFormat="1" ht="12.75">
      <c r="A13" s="3" t="s">
        <v>258</v>
      </c>
      <c r="B13" s="39">
        <f>B167</f>
        <v>4</v>
      </c>
      <c r="C13" s="40">
        <f>C167</f>
        <v>0</v>
      </c>
      <c r="D13" s="40">
        <f>D167</f>
        <v>0</v>
      </c>
      <c r="E13" s="41">
        <f>E167</f>
        <v>4</v>
      </c>
      <c r="F13" s="47">
        <f t="shared" si="0"/>
        <v>3.4482758620689653</v>
      </c>
      <c r="G13" s="39">
        <f>F167</f>
        <v>126</v>
      </c>
      <c r="H13" s="49">
        <f t="shared" si="1"/>
        <v>3.10192023633678</v>
      </c>
    </row>
    <row r="14" spans="1:8" s="43" customFormat="1" ht="19.5" customHeight="1">
      <c r="A14" s="4" t="s">
        <v>259</v>
      </c>
      <c r="B14" s="45">
        <f>SUM(B5:B13)</f>
        <v>100</v>
      </c>
      <c r="C14" s="45">
        <f>SUM(C5:C13)</f>
        <v>9</v>
      </c>
      <c r="D14" s="45">
        <f>SUM(D5:D13)</f>
        <v>7</v>
      </c>
      <c r="E14" s="45">
        <f>SUM(E5:E13)</f>
        <v>116</v>
      </c>
      <c r="F14" s="48">
        <f>E14/$E$14*100</f>
        <v>100</v>
      </c>
      <c r="G14" s="45">
        <f>SUM(G5:G13)</f>
        <v>4062</v>
      </c>
      <c r="H14" s="46">
        <f t="shared" si="1"/>
        <v>100</v>
      </c>
    </row>
    <row r="16" spans="1:5" s="2" customFormat="1" ht="11.25">
      <c r="A16" s="7" t="s">
        <v>268</v>
      </c>
      <c r="D16" s="8"/>
      <c r="E16" s="9"/>
    </row>
    <row r="17" spans="1:5" s="2" customFormat="1" ht="11.25">
      <c r="A17" s="7"/>
      <c r="D17" s="8"/>
      <c r="E17" s="9"/>
    </row>
    <row r="18" spans="1:5" s="2" customFormat="1" ht="11.25">
      <c r="A18" s="7"/>
      <c r="D18" s="8"/>
      <c r="E18" s="9"/>
    </row>
    <row r="19" spans="1:5" s="2" customFormat="1" ht="11.25">
      <c r="A19" s="7"/>
      <c r="D19" s="8"/>
      <c r="E19" s="9"/>
    </row>
    <row r="20" spans="1:5" s="2" customFormat="1" ht="11.25">
      <c r="A20" s="7"/>
      <c r="D20" s="8"/>
      <c r="E20" s="9"/>
    </row>
    <row r="21" spans="1:5" s="2" customFormat="1" ht="11.25">
      <c r="A21" s="7"/>
      <c r="D21" s="8"/>
      <c r="E21" s="9"/>
    </row>
    <row r="22" spans="1:5" s="2" customFormat="1" ht="11.25">
      <c r="A22" s="7"/>
      <c r="D22" s="8"/>
      <c r="E22" s="9"/>
    </row>
    <row r="23" spans="1:5" s="2" customFormat="1" ht="11.25">
      <c r="A23" s="7"/>
      <c r="D23" s="8"/>
      <c r="E23" s="9"/>
    </row>
    <row r="24" s="2" customFormat="1" ht="11.25">
      <c r="A24" s="7"/>
    </row>
    <row r="25" s="2" customFormat="1" ht="11.25">
      <c r="A25" s="7"/>
    </row>
    <row r="26" s="2" customFormat="1" ht="11.25">
      <c r="A26" s="7"/>
    </row>
    <row r="27" spans="1:5" s="2" customFormat="1" ht="11.25">
      <c r="A27" s="7"/>
      <c r="D27" s="64" t="s">
        <v>250</v>
      </c>
      <c r="E27" s="92">
        <f aca="true" t="shared" si="2" ref="E27:E35">E5</f>
        <v>5</v>
      </c>
    </row>
    <row r="28" spans="1:5" s="2" customFormat="1" ht="11.25">
      <c r="A28" s="7"/>
      <c r="D28" s="64" t="s">
        <v>251</v>
      </c>
      <c r="E28" s="92">
        <f t="shared" si="2"/>
        <v>11</v>
      </c>
    </row>
    <row r="29" spans="1:5" s="2" customFormat="1" ht="11.25">
      <c r="A29" s="7"/>
      <c r="D29" s="64" t="s">
        <v>252</v>
      </c>
      <c r="E29" s="92">
        <f t="shared" si="2"/>
        <v>21</v>
      </c>
    </row>
    <row r="30" spans="1:5" s="2" customFormat="1" ht="11.25">
      <c r="A30" s="7"/>
      <c r="D30" s="64" t="s">
        <v>253</v>
      </c>
      <c r="E30" s="92">
        <f t="shared" si="2"/>
        <v>26</v>
      </c>
    </row>
    <row r="31" spans="1:5" s="2" customFormat="1" ht="11.25">
      <c r="A31" s="7"/>
      <c r="D31" s="64" t="s">
        <v>254</v>
      </c>
      <c r="E31" s="92">
        <f t="shared" si="2"/>
        <v>22</v>
      </c>
    </row>
    <row r="32" spans="1:5" s="2" customFormat="1" ht="11.25">
      <c r="A32" s="7"/>
      <c r="D32" s="64" t="s">
        <v>255</v>
      </c>
      <c r="E32" s="92">
        <f t="shared" si="2"/>
        <v>4</v>
      </c>
    </row>
    <row r="33" spans="1:5" s="2" customFormat="1" ht="11.25">
      <c r="A33" s="7"/>
      <c r="D33" s="64" t="s">
        <v>256</v>
      </c>
      <c r="E33" s="92">
        <f t="shared" si="2"/>
        <v>12</v>
      </c>
    </row>
    <row r="34" spans="1:5" s="2" customFormat="1" ht="11.25">
      <c r="A34" s="7"/>
      <c r="D34" s="64" t="s">
        <v>257</v>
      </c>
      <c r="E34" s="92">
        <f t="shared" si="2"/>
        <v>11</v>
      </c>
    </row>
    <row r="35" spans="1:5" s="2" customFormat="1" ht="11.25">
      <c r="A35" s="7"/>
      <c r="D35" s="64" t="s">
        <v>258</v>
      </c>
      <c r="E35" s="92">
        <f t="shared" si="2"/>
        <v>4</v>
      </c>
    </row>
    <row r="36" s="2" customFormat="1" ht="11.25">
      <c r="A36" s="7"/>
    </row>
    <row r="37" s="2" customFormat="1" ht="11.25">
      <c r="A37" s="7"/>
    </row>
    <row r="38" s="2" customFormat="1" ht="11.25">
      <c r="A38" s="7"/>
    </row>
    <row r="39" s="2" customFormat="1" ht="11.25">
      <c r="A39" s="7"/>
    </row>
    <row r="40" s="2" customFormat="1" ht="11.25">
      <c r="A40" s="7"/>
    </row>
    <row r="41" s="2" customFormat="1" ht="11.25">
      <c r="A41" s="7"/>
    </row>
    <row r="42" s="2" customFormat="1" ht="11.25">
      <c r="A42" s="7"/>
    </row>
    <row r="43" s="2" customFormat="1" ht="11.25">
      <c r="A43" s="7"/>
    </row>
    <row r="44" s="2" customFormat="1" ht="11.25">
      <c r="A44" s="7"/>
    </row>
    <row r="45" spans="1:8" s="2" customFormat="1" ht="33.75" customHeight="1">
      <c r="A45" s="245" t="s">
        <v>272</v>
      </c>
      <c r="B45" s="245"/>
      <c r="C45" s="245"/>
      <c r="D45" s="245"/>
      <c r="E45" s="245"/>
      <c r="F45" s="245"/>
      <c r="G45" s="245"/>
      <c r="H45" s="245"/>
    </row>
    <row r="46" s="2" customFormat="1" ht="11.25">
      <c r="A46" s="7"/>
    </row>
    <row r="47" spans="1:8" s="11" customFormat="1" ht="49.5" customHeight="1">
      <c r="A47" s="24" t="s">
        <v>442</v>
      </c>
      <c r="B47" s="248" t="s">
        <v>362</v>
      </c>
      <c r="C47" s="249"/>
      <c r="D47" s="249"/>
      <c r="E47" s="249"/>
      <c r="F47" s="250"/>
      <c r="G47" s="44"/>
      <c r="H47" s="44"/>
    </row>
    <row r="48" spans="1:6" s="11" customFormat="1" ht="24" customHeight="1">
      <c r="A48" s="268" t="s">
        <v>269</v>
      </c>
      <c r="B48" s="246" t="s">
        <v>260</v>
      </c>
      <c r="C48" s="246"/>
      <c r="D48" s="246"/>
      <c r="E48" s="247" t="s">
        <v>261</v>
      </c>
      <c r="F48" s="247" t="s">
        <v>263</v>
      </c>
    </row>
    <row r="49" spans="1:6" s="11" customFormat="1" ht="31.5">
      <c r="A49" s="268"/>
      <c r="B49" s="18" t="s">
        <v>265</v>
      </c>
      <c r="C49" s="18" t="s">
        <v>267</v>
      </c>
      <c r="D49" s="18" t="s">
        <v>266</v>
      </c>
      <c r="E49" s="247"/>
      <c r="F49" s="247"/>
    </row>
    <row r="50" spans="1:6" ht="12.75">
      <c r="A50" s="80" t="s">
        <v>363</v>
      </c>
      <c r="B50" s="71">
        <v>0</v>
      </c>
      <c r="C50" s="72">
        <v>1</v>
      </c>
      <c r="D50" s="73">
        <v>0</v>
      </c>
      <c r="E50" s="74">
        <f>SUM(B50:D50)</f>
        <v>1</v>
      </c>
      <c r="F50" s="84">
        <v>7</v>
      </c>
    </row>
    <row r="51" spans="1:6" ht="12.75">
      <c r="A51" s="81" t="s">
        <v>240</v>
      </c>
      <c r="B51" s="67">
        <v>0</v>
      </c>
      <c r="C51" s="66">
        <v>1</v>
      </c>
      <c r="D51" s="68">
        <v>0</v>
      </c>
      <c r="E51" s="69">
        <f>SUM(B51:D51)</f>
        <v>1</v>
      </c>
      <c r="F51" s="70">
        <v>20</v>
      </c>
    </row>
    <row r="52" spans="1:6" ht="12" customHeight="1">
      <c r="A52" s="81" t="s">
        <v>250</v>
      </c>
      <c r="B52" s="67">
        <v>1</v>
      </c>
      <c r="C52" s="66">
        <v>0</v>
      </c>
      <c r="D52" s="68">
        <v>0</v>
      </c>
      <c r="E52" s="69">
        <f>SUM(B52:D52)</f>
        <v>1</v>
      </c>
      <c r="F52" s="70">
        <v>21</v>
      </c>
    </row>
    <row r="53" spans="1:6" ht="12.75">
      <c r="A53" s="81" t="s">
        <v>194</v>
      </c>
      <c r="B53" s="67">
        <v>1</v>
      </c>
      <c r="C53" s="66">
        <v>0</v>
      </c>
      <c r="D53" s="68">
        <v>0</v>
      </c>
      <c r="E53" s="69">
        <f>SUM(B53:D53)</f>
        <v>1</v>
      </c>
      <c r="F53" s="70">
        <v>40</v>
      </c>
    </row>
    <row r="54" spans="1:6" ht="12.75">
      <c r="A54" s="82" t="s">
        <v>197</v>
      </c>
      <c r="B54" s="75">
        <v>1</v>
      </c>
      <c r="C54" s="76">
        <v>0</v>
      </c>
      <c r="D54" s="77">
        <v>0</v>
      </c>
      <c r="E54" s="78">
        <f>SUM(B54:D54)</f>
        <v>1</v>
      </c>
      <c r="F54" s="79">
        <v>21</v>
      </c>
    </row>
    <row r="55" spans="1:7" s="23" customFormat="1" ht="17.25" customHeight="1">
      <c r="A55" s="21" t="s">
        <v>270</v>
      </c>
      <c r="B55" s="22">
        <f>SUM(B50:B54)</f>
        <v>3</v>
      </c>
      <c r="C55" s="22">
        <f>SUM(C50:C54)</f>
        <v>2</v>
      </c>
      <c r="D55" s="22">
        <f>SUM(D50:D54)</f>
        <v>0</v>
      </c>
      <c r="E55" s="22">
        <f>SUM(E50:E54)</f>
        <v>5</v>
      </c>
      <c r="F55" s="22">
        <f>SUM(F50:F54)</f>
        <v>109</v>
      </c>
      <c r="G55" s="11"/>
    </row>
    <row r="58" spans="1:8" s="11" customFormat="1" ht="48" customHeight="1">
      <c r="A58" s="24" t="s">
        <v>442</v>
      </c>
      <c r="B58" s="248" t="s">
        <v>368</v>
      </c>
      <c r="C58" s="249"/>
      <c r="D58" s="249"/>
      <c r="E58" s="249"/>
      <c r="F58" s="250"/>
      <c r="G58" s="44"/>
      <c r="H58" s="44"/>
    </row>
    <row r="59" spans="1:6" s="11" customFormat="1" ht="24" customHeight="1">
      <c r="A59" s="268" t="s">
        <v>269</v>
      </c>
      <c r="B59" s="269" t="s">
        <v>260</v>
      </c>
      <c r="C59" s="269"/>
      <c r="D59" s="269"/>
      <c r="E59" s="244" t="s">
        <v>261</v>
      </c>
      <c r="F59" s="244" t="s">
        <v>263</v>
      </c>
    </row>
    <row r="60" spans="1:6" s="11" customFormat="1" ht="31.5">
      <c r="A60" s="268"/>
      <c r="B60" s="18" t="s">
        <v>265</v>
      </c>
      <c r="C60" s="18" t="s">
        <v>267</v>
      </c>
      <c r="D60" s="18" t="s">
        <v>266</v>
      </c>
      <c r="E60" s="247"/>
      <c r="F60" s="247"/>
    </row>
    <row r="61" spans="1:6" ht="12" customHeight="1">
      <c r="A61" s="81" t="s">
        <v>203</v>
      </c>
      <c r="B61" s="67">
        <v>1</v>
      </c>
      <c r="C61" s="66">
        <v>0</v>
      </c>
      <c r="D61" s="68">
        <v>0</v>
      </c>
      <c r="E61" s="69">
        <v>1</v>
      </c>
      <c r="F61" s="70">
        <v>36</v>
      </c>
    </row>
    <row r="62" spans="1:6" ht="12" customHeight="1">
      <c r="A62" s="81" t="s">
        <v>205</v>
      </c>
      <c r="B62" s="67">
        <v>1</v>
      </c>
      <c r="C62" s="66">
        <v>0</v>
      </c>
      <c r="D62" s="68">
        <v>0</v>
      </c>
      <c r="E62" s="69">
        <v>1</v>
      </c>
      <c r="F62" s="70">
        <v>16</v>
      </c>
    </row>
    <row r="63" spans="1:6" ht="12" customHeight="1">
      <c r="A63" s="81" t="s">
        <v>208</v>
      </c>
      <c r="B63" s="67">
        <v>1</v>
      </c>
      <c r="C63" s="66">
        <v>0</v>
      </c>
      <c r="D63" s="68">
        <v>0</v>
      </c>
      <c r="E63" s="69">
        <v>1</v>
      </c>
      <c r="F63" s="70">
        <v>54</v>
      </c>
    </row>
    <row r="64" spans="1:6" ht="12" customHeight="1">
      <c r="A64" s="81" t="s">
        <v>209</v>
      </c>
      <c r="B64" s="67">
        <v>0</v>
      </c>
      <c r="C64" s="66">
        <v>1</v>
      </c>
      <c r="D64" s="68">
        <v>0</v>
      </c>
      <c r="E64" s="69">
        <v>1</v>
      </c>
      <c r="F64" s="70">
        <v>7</v>
      </c>
    </row>
    <row r="65" spans="1:6" ht="12" customHeight="1">
      <c r="A65" s="81" t="s">
        <v>211</v>
      </c>
      <c r="B65" s="67">
        <v>1</v>
      </c>
      <c r="C65" s="66">
        <v>0</v>
      </c>
      <c r="D65" s="68">
        <v>0</v>
      </c>
      <c r="E65" s="69">
        <v>1</v>
      </c>
      <c r="F65" s="70">
        <v>42</v>
      </c>
    </row>
    <row r="66" spans="1:6" ht="12" customHeight="1">
      <c r="A66" s="81" t="s">
        <v>251</v>
      </c>
      <c r="B66" s="67">
        <v>4</v>
      </c>
      <c r="C66" s="66">
        <v>0</v>
      </c>
      <c r="D66" s="68">
        <v>0</v>
      </c>
      <c r="E66" s="69">
        <v>4</v>
      </c>
      <c r="F66" s="70">
        <v>176</v>
      </c>
    </row>
    <row r="67" spans="1:6" ht="12" customHeight="1">
      <c r="A67" s="81" t="s">
        <v>213</v>
      </c>
      <c r="B67" s="67">
        <v>1</v>
      </c>
      <c r="C67" s="66">
        <v>0</v>
      </c>
      <c r="D67" s="68">
        <v>0</v>
      </c>
      <c r="E67" s="69">
        <v>1</v>
      </c>
      <c r="F67" s="70">
        <v>28</v>
      </c>
    </row>
    <row r="68" spans="1:6" ht="12" customHeight="1">
      <c r="A68" s="81" t="s">
        <v>215</v>
      </c>
      <c r="B68" s="67">
        <v>1</v>
      </c>
      <c r="C68" s="66">
        <v>0</v>
      </c>
      <c r="D68" s="68">
        <v>0</v>
      </c>
      <c r="E68" s="69">
        <v>1</v>
      </c>
      <c r="F68" s="70">
        <v>42</v>
      </c>
    </row>
    <row r="69" spans="1:7" s="23" customFormat="1" ht="17.25" customHeight="1">
      <c r="A69" s="21" t="s">
        <v>271</v>
      </c>
      <c r="B69" s="22">
        <f>SUM(B61:B68)</f>
        <v>10</v>
      </c>
      <c r="C69" s="22">
        <f>SUM(C61:C68)</f>
        <v>1</v>
      </c>
      <c r="D69" s="22">
        <f>SUM(D61:D68)</f>
        <v>0</v>
      </c>
      <c r="E69" s="22">
        <f>SUM(E61:E68)</f>
        <v>11</v>
      </c>
      <c r="F69" s="22">
        <f>SUM(F61:F68)</f>
        <v>401</v>
      </c>
      <c r="G69" s="11"/>
    </row>
    <row r="72" spans="1:7" s="11" customFormat="1" ht="60.75" customHeight="1">
      <c r="A72" s="24" t="s">
        <v>442</v>
      </c>
      <c r="B72" s="248" t="s">
        <v>397</v>
      </c>
      <c r="C72" s="249"/>
      <c r="D72" s="249"/>
      <c r="E72" s="249"/>
      <c r="F72" s="250"/>
      <c r="G72" s="25"/>
    </row>
    <row r="73" spans="1:6" s="11" customFormat="1" ht="24" customHeight="1">
      <c r="A73" s="268" t="s">
        <v>269</v>
      </c>
      <c r="B73" s="269" t="s">
        <v>260</v>
      </c>
      <c r="C73" s="269"/>
      <c r="D73" s="269"/>
      <c r="E73" s="244" t="s">
        <v>261</v>
      </c>
      <c r="F73" s="244" t="s">
        <v>263</v>
      </c>
    </row>
    <row r="74" spans="1:6" s="11" customFormat="1" ht="31.5">
      <c r="A74" s="268"/>
      <c r="B74" s="18" t="s">
        <v>265</v>
      </c>
      <c r="C74" s="18" t="s">
        <v>267</v>
      </c>
      <c r="D74" s="18" t="s">
        <v>266</v>
      </c>
      <c r="E74" s="247"/>
      <c r="F74" s="247"/>
    </row>
    <row r="75" spans="1:6" ht="12" customHeight="1">
      <c r="A75" s="81" t="s">
        <v>219</v>
      </c>
      <c r="B75" s="67">
        <v>0</v>
      </c>
      <c r="C75" s="66">
        <v>0</v>
      </c>
      <c r="D75" s="68">
        <v>1</v>
      </c>
      <c r="E75" s="69">
        <v>1</v>
      </c>
      <c r="F75" s="70">
        <v>16</v>
      </c>
    </row>
    <row r="76" spans="1:6" ht="12" customHeight="1">
      <c r="A76" s="81" t="s">
        <v>284</v>
      </c>
      <c r="B76" s="67">
        <v>2</v>
      </c>
      <c r="C76" s="66">
        <v>0</v>
      </c>
      <c r="D76" s="68">
        <v>0</v>
      </c>
      <c r="E76" s="69">
        <v>2</v>
      </c>
      <c r="F76" s="70">
        <v>67</v>
      </c>
    </row>
    <row r="77" spans="1:6" ht="12" customHeight="1">
      <c r="A77" s="81" t="s">
        <v>286</v>
      </c>
      <c r="B77" s="67">
        <v>0</v>
      </c>
      <c r="C77" s="66">
        <v>1</v>
      </c>
      <c r="D77" s="68">
        <v>0</v>
      </c>
      <c r="E77" s="69">
        <v>1</v>
      </c>
      <c r="F77" s="70">
        <v>18</v>
      </c>
    </row>
    <row r="78" spans="1:6" ht="12" customHeight="1">
      <c r="A78" s="81" t="s">
        <v>294</v>
      </c>
      <c r="B78" s="67">
        <v>10</v>
      </c>
      <c r="C78" s="66">
        <v>0</v>
      </c>
      <c r="D78" s="68">
        <v>4</v>
      </c>
      <c r="E78" s="69">
        <v>14</v>
      </c>
      <c r="F78" s="70">
        <v>596</v>
      </c>
    </row>
    <row r="79" spans="1:6" ht="12" customHeight="1">
      <c r="A79" s="81" t="s">
        <v>296</v>
      </c>
      <c r="B79" s="67">
        <v>1</v>
      </c>
      <c r="C79" s="66">
        <v>0</v>
      </c>
      <c r="D79" s="68">
        <v>0</v>
      </c>
      <c r="E79" s="69">
        <v>1</v>
      </c>
      <c r="F79" s="70">
        <v>36</v>
      </c>
    </row>
    <row r="80" spans="1:6" ht="12" customHeight="1">
      <c r="A80" s="81" t="s">
        <v>297</v>
      </c>
      <c r="B80" s="67">
        <v>1</v>
      </c>
      <c r="C80" s="66">
        <v>0</v>
      </c>
      <c r="D80" s="68">
        <v>0</v>
      </c>
      <c r="E80" s="69">
        <v>1</v>
      </c>
      <c r="F80" s="70">
        <v>25</v>
      </c>
    </row>
    <row r="81" spans="1:6" ht="12" customHeight="1">
      <c r="A81" s="81" t="s">
        <v>298</v>
      </c>
      <c r="B81" s="67">
        <v>1</v>
      </c>
      <c r="C81" s="66">
        <v>0</v>
      </c>
      <c r="D81" s="68">
        <v>0</v>
      </c>
      <c r="E81" s="69">
        <v>1</v>
      </c>
      <c r="F81" s="70">
        <v>45</v>
      </c>
    </row>
    <row r="82" spans="1:7" s="23" customFormat="1" ht="17.25" customHeight="1">
      <c r="A82" s="21" t="s">
        <v>223</v>
      </c>
      <c r="B82" s="22">
        <f>SUM(B75:B81)</f>
        <v>15</v>
      </c>
      <c r="C82" s="22">
        <f>SUM(C75:C81)</f>
        <v>1</v>
      </c>
      <c r="D82" s="22">
        <f>SUM(D75:D81)</f>
        <v>5</v>
      </c>
      <c r="E82" s="22">
        <f>SUM(E75:E81)</f>
        <v>21</v>
      </c>
      <c r="F82" s="22">
        <f>SUM(F75:F81)</f>
        <v>803</v>
      </c>
      <c r="G82" s="11"/>
    </row>
    <row r="85" spans="1:7" s="11" customFormat="1" ht="60.75" customHeight="1">
      <c r="A85" s="24" t="s">
        <v>442</v>
      </c>
      <c r="B85" s="248" t="s">
        <v>424</v>
      </c>
      <c r="C85" s="249"/>
      <c r="D85" s="249"/>
      <c r="E85" s="249"/>
      <c r="F85" s="250"/>
      <c r="G85" s="25"/>
    </row>
    <row r="86" spans="1:6" s="11" customFormat="1" ht="24" customHeight="1">
      <c r="A86" s="268" t="s">
        <v>269</v>
      </c>
      <c r="B86" s="269" t="s">
        <v>260</v>
      </c>
      <c r="C86" s="269"/>
      <c r="D86" s="269"/>
      <c r="E86" s="244" t="s">
        <v>261</v>
      </c>
      <c r="F86" s="244" t="s">
        <v>263</v>
      </c>
    </row>
    <row r="87" spans="1:6" s="11" customFormat="1" ht="31.5">
      <c r="A87" s="268"/>
      <c r="B87" s="18" t="s">
        <v>265</v>
      </c>
      <c r="C87" s="18" t="s">
        <v>267</v>
      </c>
      <c r="D87" s="18" t="s">
        <v>266</v>
      </c>
      <c r="E87" s="247"/>
      <c r="F87" s="247"/>
    </row>
    <row r="88" spans="1:6" ht="12" customHeight="1">
      <c r="A88" s="81" t="s">
        <v>304</v>
      </c>
      <c r="B88" s="67">
        <v>1</v>
      </c>
      <c r="C88" s="66">
        <v>0</v>
      </c>
      <c r="D88" s="68">
        <v>0</v>
      </c>
      <c r="E88" s="69">
        <v>1</v>
      </c>
      <c r="F88" s="70">
        <v>24</v>
      </c>
    </row>
    <row r="89" spans="1:6" ht="12" customHeight="1">
      <c r="A89" s="81" t="s">
        <v>315</v>
      </c>
      <c r="B89" s="67">
        <v>3</v>
      </c>
      <c r="C89" s="66">
        <v>1</v>
      </c>
      <c r="D89" s="68">
        <v>0</v>
      </c>
      <c r="E89" s="69">
        <v>4</v>
      </c>
      <c r="F89" s="70">
        <v>94</v>
      </c>
    </row>
    <row r="90" spans="1:6" ht="12" customHeight="1">
      <c r="A90" s="81" t="s">
        <v>318</v>
      </c>
      <c r="B90" s="67">
        <v>2</v>
      </c>
      <c r="C90" s="66">
        <v>0</v>
      </c>
      <c r="D90" s="68">
        <v>0</v>
      </c>
      <c r="E90" s="69">
        <v>2</v>
      </c>
      <c r="F90" s="70">
        <v>63</v>
      </c>
    </row>
    <row r="91" spans="1:6" ht="12" customHeight="1">
      <c r="A91" s="81" t="s">
        <v>321</v>
      </c>
      <c r="B91" s="67">
        <v>1</v>
      </c>
      <c r="C91" s="66">
        <v>0</v>
      </c>
      <c r="D91" s="68">
        <v>0</v>
      </c>
      <c r="E91" s="69">
        <v>1</v>
      </c>
      <c r="F91" s="70">
        <v>66</v>
      </c>
    </row>
    <row r="92" spans="1:6" ht="12" customHeight="1">
      <c r="A92" s="81" t="s">
        <v>253</v>
      </c>
      <c r="B92" s="67">
        <v>15</v>
      </c>
      <c r="C92" s="66">
        <v>0</v>
      </c>
      <c r="D92" s="68">
        <v>0</v>
      </c>
      <c r="E92" s="69">
        <v>15</v>
      </c>
      <c r="F92" s="70">
        <v>477</v>
      </c>
    </row>
    <row r="93" spans="1:6" ht="12" customHeight="1">
      <c r="A93" s="81" t="s">
        <v>322</v>
      </c>
      <c r="B93" s="67">
        <v>1</v>
      </c>
      <c r="C93" s="66">
        <v>0</v>
      </c>
      <c r="D93" s="68">
        <v>0</v>
      </c>
      <c r="E93" s="69">
        <v>1</v>
      </c>
      <c r="F93" s="70">
        <v>14</v>
      </c>
    </row>
    <row r="94" spans="1:6" ht="12" customHeight="1">
      <c r="A94" s="81" t="s">
        <v>324</v>
      </c>
      <c r="B94" s="67">
        <v>1</v>
      </c>
      <c r="C94" s="66">
        <v>0</v>
      </c>
      <c r="D94" s="68">
        <v>0</v>
      </c>
      <c r="E94" s="69">
        <v>1</v>
      </c>
      <c r="F94" s="70">
        <v>30</v>
      </c>
    </row>
    <row r="95" spans="1:6" ht="12" customHeight="1">
      <c r="A95" s="81" t="s">
        <v>332</v>
      </c>
      <c r="B95" s="67">
        <v>1</v>
      </c>
      <c r="C95" s="66">
        <v>0</v>
      </c>
      <c r="D95" s="68">
        <v>0</v>
      </c>
      <c r="E95" s="69">
        <v>1</v>
      </c>
      <c r="F95" s="70">
        <v>62</v>
      </c>
    </row>
    <row r="96" spans="1:7" s="23" customFormat="1" ht="17.25" customHeight="1">
      <c r="A96" s="21" t="s">
        <v>224</v>
      </c>
      <c r="B96" s="22">
        <f>SUM(B88:B95)</f>
        <v>25</v>
      </c>
      <c r="C96" s="22">
        <f>SUM(C88:C95)</f>
        <v>1</v>
      </c>
      <c r="D96" s="22">
        <f>SUM(D88:D95)</f>
        <v>0</v>
      </c>
      <c r="E96" s="22">
        <f>SUM(E88:E95)</f>
        <v>26</v>
      </c>
      <c r="F96" s="22">
        <f>SUM(F88:F95)</f>
        <v>830</v>
      </c>
      <c r="G96" s="11"/>
    </row>
    <row r="98" s="34" customFormat="1" ht="12.75">
      <c r="A98" s="36" t="s">
        <v>158</v>
      </c>
    </row>
    <row r="99" s="34" customFormat="1" ht="12.75">
      <c r="A99" s="36" t="s">
        <v>426</v>
      </c>
    </row>
    <row r="101" spans="1:7" s="11" customFormat="1" ht="60.75" customHeight="1">
      <c r="A101" s="24" t="s">
        <v>442</v>
      </c>
      <c r="B101" s="248" t="s">
        <v>356</v>
      </c>
      <c r="C101" s="249"/>
      <c r="D101" s="249"/>
      <c r="E101" s="249"/>
      <c r="F101" s="250"/>
      <c r="G101" s="25"/>
    </row>
    <row r="102" spans="1:6" s="11" customFormat="1" ht="24" customHeight="1">
      <c r="A102" s="268" t="s">
        <v>269</v>
      </c>
      <c r="B102" s="269" t="s">
        <v>260</v>
      </c>
      <c r="C102" s="269"/>
      <c r="D102" s="269"/>
      <c r="E102" s="244" t="s">
        <v>261</v>
      </c>
      <c r="F102" s="244" t="s">
        <v>263</v>
      </c>
    </row>
    <row r="103" spans="1:6" s="11" customFormat="1" ht="31.5">
      <c r="A103" s="268"/>
      <c r="B103" s="18" t="s">
        <v>265</v>
      </c>
      <c r="C103" s="18" t="s">
        <v>267</v>
      </c>
      <c r="D103" s="18" t="s">
        <v>266</v>
      </c>
      <c r="E103" s="247"/>
      <c r="F103" s="247"/>
    </row>
    <row r="104" spans="1:6" ht="12.75">
      <c r="A104" s="51" t="s">
        <v>130</v>
      </c>
      <c r="B104" s="52">
        <v>1</v>
      </c>
      <c r="C104" s="52">
        <v>0</v>
      </c>
      <c r="D104" s="52">
        <v>0</v>
      </c>
      <c r="E104" s="53">
        <v>1</v>
      </c>
      <c r="F104" s="52">
        <v>69</v>
      </c>
    </row>
    <row r="105" spans="1:6" ht="12.75">
      <c r="A105" s="51" t="s">
        <v>254</v>
      </c>
      <c r="B105" s="52">
        <v>3</v>
      </c>
      <c r="C105" s="52">
        <v>0</v>
      </c>
      <c r="D105" s="52">
        <v>0</v>
      </c>
      <c r="E105" s="53">
        <v>3</v>
      </c>
      <c r="F105" s="52">
        <v>191</v>
      </c>
    </row>
    <row r="106" spans="1:6" ht="12.75">
      <c r="A106" s="51" t="s">
        <v>124</v>
      </c>
      <c r="B106" s="52">
        <v>1</v>
      </c>
      <c r="C106" s="52">
        <v>0</v>
      </c>
      <c r="D106" s="52">
        <v>0</v>
      </c>
      <c r="E106" s="53">
        <v>1</v>
      </c>
      <c r="F106" s="52">
        <v>30</v>
      </c>
    </row>
    <row r="107" spans="1:6" ht="12.75">
      <c r="A107" s="51" t="s">
        <v>123</v>
      </c>
      <c r="B107" s="52">
        <v>2</v>
      </c>
      <c r="C107" s="52">
        <v>0</v>
      </c>
      <c r="D107" s="52">
        <v>0</v>
      </c>
      <c r="E107" s="53">
        <v>2</v>
      </c>
      <c r="F107" s="52">
        <v>55</v>
      </c>
    </row>
    <row r="108" spans="1:6" ht="12.75">
      <c r="A108" s="51" t="s">
        <v>135</v>
      </c>
      <c r="B108" s="52">
        <v>0</v>
      </c>
      <c r="C108" s="52">
        <v>0</v>
      </c>
      <c r="D108" s="52">
        <v>1</v>
      </c>
      <c r="E108" s="53">
        <v>1</v>
      </c>
      <c r="F108" s="52">
        <v>21</v>
      </c>
    </row>
    <row r="109" spans="1:6" ht="12.75">
      <c r="A109" s="51" t="s">
        <v>134</v>
      </c>
      <c r="B109" s="52">
        <v>0</v>
      </c>
      <c r="C109" s="52">
        <v>1</v>
      </c>
      <c r="D109" s="52">
        <v>0</v>
      </c>
      <c r="E109" s="53">
        <v>1</v>
      </c>
      <c r="F109" s="52">
        <v>14</v>
      </c>
    </row>
    <row r="110" spans="1:6" ht="12.75">
      <c r="A110" s="51" t="s">
        <v>117</v>
      </c>
      <c r="B110" s="52">
        <v>1</v>
      </c>
      <c r="C110" s="52">
        <v>0</v>
      </c>
      <c r="D110" s="52">
        <v>0</v>
      </c>
      <c r="E110" s="53">
        <v>1</v>
      </c>
      <c r="F110" s="52">
        <v>34</v>
      </c>
    </row>
    <row r="111" spans="1:6" ht="12.75">
      <c r="A111" s="51" t="s">
        <v>355</v>
      </c>
      <c r="B111" s="52">
        <v>1</v>
      </c>
      <c r="C111" s="52">
        <v>0</v>
      </c>
      <c r="D111" s="52">
        <v>0</v>
      </c>
      <c r="E111" s="53">
        <v>1</v>
      </c>
      <c r="F111" s="52">
        <v>16</v>
      </c>
    </row>
    <row r="112" spans="1:6" ht="12.75">
      <c r="A112" s="51" t="s">
        <v>133</v>
      </c>
      <c r="B112" s="52">
        <v>1</v>
      </c>
      <c r="C112" s="52">
        <v>0</v>
      </c>
      <c r="D112" s="52">
        <v>0</v>
      </c>
      <c r="E112" s="53">
        <v>1</v>
      </c>
      <c r="F112" s="52">
        <v>36</v>
      </c>
    </row>
    <row r="113" spans="1:6" ht="12.75">
      <c r="A113" s="51" t="s">
        <v>132</v>
      </c>
      <c r="B113" s="52">
        <v>2</v>
      </c>
      <c r="C113" s="52">
        <v>0</v>
      </c>
      <c r="D113" s="52">
        <v>0</v>
      </c>
      <c r="E113" s="53">
        <v>2</v>
      </c>
      <c r="F113" s="52">
        <v>79</v>
      </c>
    </row>
    <row r="114" spans="1:6" ht="12.75">
      <c r="A114" s="51" t="s">
        <v>131</v>
      </c>
      <c r="B114" s="52">
        <v>1</v>
      </c>
      <c r="C114" s="52">
        <v>0</v>
      </c>
      <c r="D114" s="52">
        <v>0</v>
      </c>
      <c r="E114" s="53">
        <v>1</v>
      </c>
      <c r="F114" s="52">
        <v>30</v>
      </c>
    </row>
    <row r="115" spans="1:6" ht="12.75" customHeight="1">
      <c r="A115" s="51" t="s">
        <v>105</v>
      </c>
      <c r="B115" s="52">
        <v>2</v>
      </c>
      <c r="C115" s="52">
        <v>1</v>
      </c>
      <c r="D115" s="52">
        <v>0</v>
      </c>
      <c r="E115" s="53">
        <v>3</v>
      </c>
      <c r="F115" s="52">
        <v>110</v>
      </c>
    </row>
    <row r="116" spans="1:6" ht="12.75">
      <c r="A116" s="51" t="s">
        <v>104</v>
      </c>
      <c r="B116" s="52">
        <v>2</v>
      </c>
      <c r="C116" s="52">
        <v>0</v>
      </c>
      <c r="D116" s="52">
        <v>1</v>
      </c>
      <c r="E116" s="53">
        <v>3</v>
      </c>
      <c r="F116" s="52">
        <v>68</v>
      </c>
    </row>
    <row r="117" spans="1:6" ht="12.75">
      <c r="A117" s="51" t="s">
        <v>96</v>
      </c>
      <c r="B117" s="52">
        <v>1</v>
      </c>
      <c r="C117" s="52">
        <v>0</v>
      </c>
      <c r="D117" s="52">
        <v>0</v>
      </c>
      <c r="E117" s="53">
        <v>1</v>
      </c>
      <c r="F117" s="52">
        <v>40</v>
      </c>
    </row>
    <row r="118" spans="1:7" s="23" customFormat="1" ht="17.25" customHeight="1">
      <c r="A118" s="21" t="s">
        <v>225</v>
      </c>
      <c r="B118" s="22">
        <f>SUM(B104:B117)</f>
        <v>18</v>
      </c>
      <c r="C118" s="22">
        <f>SUM(C104:C117)</f>
        <v>2</v>
      </c>
      <c r="D118" s="22">
        <f>SUM(D104:D117)</f>
        <v>2</v>
      </c>
      <c r="E118" s="22">
        <f>SUM(E104:E117)</f>
        <v>22</v>
      </c>
      <c r="F118" s="22">
        <f>SUM(F104:F117)</f>
        <v>793</v>
      </c>
      <c r="G118" s="11"/>
    </row>
    <row r="120" s="14" customFormat="1" ht="12.75">
      <c r="A120" s="35" t="s">
        <v>137</v>
      </c>
    </row>
    <row r="122" spans="1:7" s="11" customFormat="1" ht="60.75" customHeight="1">
      <c r="A122" s="24" t="s">
        <v>442</v>
      </c>
      <c r="B122" s="248" t="s">
        <v>402</v>
      </c>
      <c r="C122" s="249"/>
      <c r="D122" s="249"/>
      <c r="E122" s="249"/>
      <c r="F122" s="250"/>
      <c r="G122" s="25"/>
    </row>
    <row r="123" spans="1:6" s="11" customFormat="1" ht="24" customHeight="1">
      <c r="A123" s="268" t="s">
        <v>269</v>
      </c>
      <c r="B123" s="269" t="s">
        <v>260</v>
      </c>
      <c r="C123" s="269"/>
      <c r="D123" s="269"/>
      <c r="E123" s="244" t="s">
        <v>261</v>
      </c>
      <c r="F123" s="244" t="s">
        <v>263</v>
      </c>
    </row>
    <row r="124" spans="1:6" s="11" customFormat="1" ht="31.5">
      <c r="A124" s="268"/>
      <c r="B124" s="18" t="s">
        <v>265</v>
      </c>
      <c r="C124" s="18" t="s">
        <v>267</v>
      </c>
      <c r="D124" s="18" t="s">
        <v>266</v>
      </c>
      <c r="E124" s="247"/>
      <c r="F124" s="247"/>
    </row>
    <row r="125" spans="1:6" ht="12.75" customHeight="1">
      <c r="A125" s="51" t="s">
        <v>159</v>
      </c>
      <c r="B125" s="52">
        <v>1</v>
      </c>
      <c r="C125" s="52">
        <v>0</v>
      </c>
      <c r="D125" s="52">
        <v>0</v>
      </c>
      <c r="E125" s="53">
        <v>1</v>
      </c>
      <c r="F125" s="52">
        <v>14</v>
      </c>
    </row>
    <row r="126" spans="1:6" ht="12.75" customHeight="1">
      <c r="A126" s="51" t="s">
        <v>227</v>
      </c>
      <c r="B126" s="52">
        <v>1</v>
      </c>
      <c r="C126" s="52">
        <v>0</v>
      </c>
      <c r="D126" s="52">
        <v>0</v>
      </c>
      <c r="E126" s="53">
        <v>1</v>
      </c>
      <c r="F126" s="52">
        <v>35</v>
      </c>
    </row>
    <row r="127" spans="1:6" ht="12.75" customHeight="1">
      <c r="A127" s="51" t="s">
        <v>228</v>
      </c>
      <c r="B127" s="52">
        <v>1</v>
      </c>
      <c r="C127" s="52">
        <v>0</v>
      </c>
      <c r="D127" s="52">
        <v>0</v>
      </c>
      <c r="E127" s="53">
        <v>1</v>
      </c>
      <c r="F127" s="52">
        <v>19</v>
      </c>
    </row>
    <row r="128" spans="1:6" ht="12.75" customHeight="1">
      <c r="A128" s="51" t="s">
        <v>229</v>
      </c>
      <c r="B128" s="52">
        <v>1</v>
      </c>
      <c r="C128" s="52">
        <v>0</v>
      </c>
      <c r="D128" s="52">
        <v>0</v>
      </c>
      <c r="E128" s="53">
        <v>1</v>
      </c>
      <c r="F128" s="52">
        <v>40</v>
      </c>
    </row>
    <row r="129" spans="1:7" s="23" customFormat="1" ht="17.25" customHeight="1">
      <c r="A129" s="21" t="s">
        <v>226</v>
      </c>
      <c r="B129" s="22">
        <f>SUM(B125:B128)</f>
        <v>4</v>
      </c>
      <c r="C129" s="22">
        <f>SUM(C125:C128)</f>
        <v>0</v>
      </c>
      <c r="D129" s="22">
        <f>SUM(D125:D128)</f>
        <v>0</v>
      </c>
      <c r="E129" s="22">
        <f>SUM(E125:E128)</f>
        <v>4</v>
      </c>
      <c r="F129" s="22">
        <f>SUM(F125:F128)</f>
        <v>108</v>
      </c>
      <c r="G129" s="11"/>
    </row>
    <row r="132" spans="1:8" s="11" customFormat="1" ht="60.75" customHeight="1">
      <c r="A132" s="24" t="s">
        <v>442</v>
      </c>
      <c r="B132" s="248" t="s">
        <v>354</v>
      </c>
      <c r="C132" s="249"/>
      <c r="D132" s="249"/>
      <c r="E132" s="249"/>
      <c r="F132" s="250"/>
      <c r="G132" s="25"/>
      <c r="H132" s="50"/>
    </row>
    <row r="133" spans="1:8" s="11" customFormat="1" ht="24" customHeight="1">
      <c r="A133" s="268" t="s">
        <v>269</v>
      </c>
      <c r="B133" s="269" t="s">
        <v>260</v>
      </c>
      <c r="C133" s="269"/>
      <c r="D133" s="269"/>
      <c r="E133" s="244" t="s">
        <v>261</v>
      </c>
      <c r="F133" s="244" t="s">
        <v>263</v>
      </c>
      <c r="H133" s="50"/>
    </row>
    <row r="134" spans="1:8" s="11" customFormat="1" ht="31.5">
      <c r="A134" s="268"/>
      <c r="B134" s="18" t="s">
        <v>265</v>
      </c>
      <c r="C134" s="18" t="s">
        <v>267</v>
      </c>
      <c r="D134" s="18" t="s">
        <v>266</v>
      </c>
      <c r="E134" s="247"/>
      <c r="F134" s="247"/>
      <c r="H134" s="50"/>
    </row>
    <row r="135" spans="1:6" ht="12.75">
      <c r="A135" s="51" t="s">
        <v>140</v>
      </c>
      <c r="B135" s="52">
        <v>1</v>
      </c>
      <c r="C135" s="52">
        <v>0</v>
      </c>
      <c r="D135" s="52">
        <v>0</v>
      </c>
      <c r="E135" s="53">
        <v>1</v>
      </c>
      <c r="F135" s="52">
        <v>48</v>
      </c>
    </row>
    <row r="136" spans="1:6" ht="12.75">
      <c r="A136" s="51" t="s">
        <v>139</v>
      </c>
      <c r="B136" s="52">
        <v>2</v>
      </c>
      <c r="C136" s="52">
        <v>0</v>
      </c>
      <c r="D136" s="52">
        <v>0</v>
      </c>
      <c r="E136" s="53">
        <v>2</v>
      </c>
      <c r="F136" s="52">
        <v>130</v>
      </c>
    </row>
    <row r="137" spans="1:6" ht="12.75">
      <c r="A137" s="51" t="s">
        <v>233</v>
      </c>
      <c r="B137" s="52">
        <v>2</v>
      </c>
      <c r="C137" s="52">
        <v>0</v>
      </c>
      <c r="D137" s="52">
        <v>0</v>
      </c>
      <c r="E137" s="53">
        <v>2</v>
      </c>
      <c r="F137" s="52">
        <v>101</v>
      </c>
    </row>
    <row r="138" spans="1:6" ht="12.75">
      <c r="A138" s="51" t="s">
        <v>256</v>
      </c>
      <c r="B138" s="52">
        <v>5</v>
      </c>
      <c r="C138" s="52">
        <v>0</v>
      </c>
      <c r="D138" s="52">
        <v>0</v>
      </c>
      <c r="E138" s="53">
        <v>5</v>
      </c>
      <c r="F138" s="52">
        <v>208</v>
      </c>
    </row>
    <row r="139" spans="1:6" ht="12.75">
      <c r="A139" s="51" t="s">
        <v>138</v>
      </c>
      <c r="B139" s="52">
        <v>1</v>
      </c>
      <c r="C139" s="52">
        <v>0</v>
      </c>
      <c r="D139" s="52">
        <v>0</v>
      </c>
      <c r="E139" s="53">
        <v>1</v>
      </c>
      <c r="F139" s="52">
        <v>43</v>
      </c>
    </row>
    <row r="140" spans="1:6" ht="12.75">
      <c r="A140" s="51" t="s">
        <v>238</v>
      </c>
      <c r="B140" s="52">
        <v>1</v>
      </c>
      <c r="C140" s="52">
        <v>0</v>
      </c>
      <c r="D140" s="52">
        <v>0</v>
      </c>
      <c r="E140" s="53">
        <v>1</v>
      </c>
      <c r="F140" s="52">
        <v>40</v>
      </c>
    </row>
    <row r="141" spans="1:7" s="23" customFormat="1" ht="17.25" customHeight="1">
      <c r="A141" s="21" t="s">
        <v>182</v>
      </c>
      <c r="B141" s="22">
        <f>SUM(B135:B140)</f>
        <v>12</v>
      </c>
      <c r="C141" s="22">
        <f>SUM(C135:C140)</f>
        <v>0</v>
      </c>
      <c r="D141" s="22">
        <f>SUM(D135:D140)</f>
        <v>0</v>
      </c>
      <c r="E141" s="22">
        <f>SUM(E135:E140)</f>
        <v>12</v>
      </c>
      <c r="F141" s="22">
        <f>SUM(F135:F140)</f>
        <v>570</v>
      </c>
      <c r="G141" s="11"/>
    </row>
    <row r="143" ht="12.75">
      <c r="A143" s="38" t="s">
        <v>141</v>
      </c>
    </row>
    <row r="145" spans="1:7" s="11" customFormat="1" ht="60.75" customHeight="1">
      <c r="A145" s="24" t="s">
        <v>442</v>
      </c>
      <c r="B145" s="248" t="s">
        <v>416</v>
      </c>
      <c r="C145" s="249"/>
      <c r="D145" s="249"/>
      <c r="E145" s="249"/>
      <c r="F145" s="250"/>
      <c r="G145" s="25"/>
    </row>
    <row r="146" spans="1:6" s="11" customFormat="1" ht="24" customHeight="1">
      <c r="A146" s="268" t="s">
        <v>269</v>
      </c>
      <c r="B146" s="269" t="s">
        <v>260</v>
      </c>
      <c r="C146" s="269"/>
      <c r="D146" s="269"/>
      <c r="E146" s="244" t="s">
        <v>261</v>
      </c>
      <c r="F146" s="244" t="s">
        <v>263</v>
      </c>
    </row>
    <row r="147" spans="1:6" s="11" customFormat="1" ht="31.5">
      <c r="A147" s="268"/>
      <c r="B147" s="18" t="s">
        <v>265</v>
      </c>
      <c r="C147" s="18" t="s">
        <v>267</v>
      </c>
      <c r="D147" s="18" t="s">
        <v>266</v>
      </c>
      <c r="E147" s="247"/>
      <c r="F147" s="247"/>
    </row>
    <row r="148" spans="1:6" ht="12.75">
      <c r="A148" s="51" t="s">
        <v>174</v>
      </c>
      <c r="B148" s="52">
        <v>0</v>
      </c>
      <c r="C148" s="52">
        <v>1</v>
      </c>
      <c r="D148" s="52">
        <v>0</v>
      </c>
      <c r="E148" s="53">
        <v>1</v>
      </c>
      <c r="F148" s="52">
        <v>23</v>
      </c>
    </row>
    <row r="149" spans="1:6" ht="12.75">
      <c r="A149" s="51" t="s">
        <v>152</v>
      </c>
      <c r="B149" s="52">
        <v>3</v>
      </c>
      <c r="C149" s="52">
        <v>0</v>
      </c>
      <c r="D149" s="52">
        <v>0</v>
      </c>
      <c r="E149" s="53">
        <v>3</v>
      </c>
      <c r="F149" s="52">
        <v>110</v>
      </c>
    </row>
    <row r="150" spans="1:6" ht="12.75">
      <c r="A150" s="51" t="s">
        <v>150</v>
      </c>
      <c r="B150" s="52">
        <v>1</v>
      </c>
      <c r="C150" s="52">
        <v>0</v>
      </c>
      <c r="D150" s="52">
        <v>0</v>
      </c>
      <c r="E150" s="53">
        <v>1</v>
      </c>
      <c r="F150" s="52">
        <v>59</v>
      </c>
    </row>
    <row r="151" spans="1:6" ht="12.75">
      <c r="A151" s="51" t="s">
        <v>149</v>
      </c>
      <c r="B151" s="52">
        <v>1</v>
      </c>
      <c r="C151" s="52">
        <v>0</v>
      </c>
      <c r="D151" s="52">
        <v>0</v>
      </c>
      <c r="E151" s="53">
        <v>1</v>
      </c>
      <c r="F151" s="52">
        <v>16</v>
      </c>
    </row>
    <row r="152" spans="1:6" ht="12.75">
      <c r="A152" s="51" t="s">
        <v>173</v>
      </c>
      <c r="B152" s="52">
        <v>1</v>
      </c>
      <c r="C152" s="52">
        <v>0</v>
      </c>
      <c r="D152" s="52">
        <v>0</v>
      </c>
      <c r="E152" s="53">
        <v>1</v>
      </c>
      <c r="F152" s="52">
        <v>34</v>
      </c>
    </row>
    <row r="153" spans="1:6" ht="12.75">
      <c r="A153" s="51" t="s">
        <v>178</v>
      </c>
      <c r="B153" s="52">
        <v>0</v>
      </c>
      <c r="C153" s="52">
        <v>1</v>
      </c>
      <c r="D153" s="52">
        <v>0</v>
      </c>
      <c r="E153" s="53">
        <v>1</v>
      </c>
      <c r="F153" s="52">
        <v>14</v>
      </c>
    </row>
    <row r="154" spans="1:6" ht="12.75">
      <c r="A154" s="51" t="s">
        <v>172</v>
      </c>
      <c r="B154" s="52">
        <v>1</v>
      </c>
      <c r="C154" s="52">
        <v>0</v>
      </c>
      <c r="D154" s="52">
        <v>0</v>
      </c>
      <c r="E154" s="53">
        <v>1</v>
      </c>
      <c r="F154" s="52">
        <v>28</v>
      </c>
    </row>
    <row r="155" spans="1:6" ht="12.75">
      <c r="A155" s="51" t="s">
        <v>171</v>
      </c>
      <c r="B155" s="52">
        <v>1</v>
      </c>
      <c r="C155" s="52">
        <v>0</v>
      </c>
      <c r="D155" s="52">
        <v>0</v>
      </c>
      <c r="E155" s="53">
        <v>1</v>
      </c>
      <c r="F155" s="52">
        <v>20</v>
      </c>
    </row>
    <row r="156" spans="1:6" ht="12.75">
      <c r="A156" s="51" t="s">
        <v>170</v>
      </c>
      <c r="B156" s="52">
        <v>1</v>
      </c>
      <c r="C156" s="52">
        <v>0</v>
      </c>
      <c r="D156" s="52">
        <v>0</v>
      </c>
      <c r="E156" s="53">
        <v>1</v>
      </c>
      <c r="F156" s="52">
        <v>18</v>
      </c>
    </row>
    <row r="157" spans="1:7" s="23" customFormat="1" ht="17.25" customHeight="1">
      <c r="A157" s="21" t="s">
        <v>183</v>
      </c>
      <c r="B157" s="22">
        <f>SUM(B148:B156)</f>
        <v>9</v>
      </c>
      <c r="C157" s="22">
        <f>SUM(C148:C156)</f>
        <v>2</v>
      </c>
      <c r="D157" s="22">
        <f>SUM(D148:D156)</f>
        <v>0</v>
      </c>
      <c r="E157" s="22">
        <f>SUM(E148:E156)</f>
        <v>11</v>
      </c>
      <c r="F157" s="22">
        <f>SUM(F148:F156)</f>
        <v>322</v>
      </c>
      <c r="G157" s="11"/>
    </row>
    <row r="158" spans="7:8" ht="12.75">
      <c r="G158" s="11"/>
      <c r="H158" s="11"/>
    </row>
    <row r="160" spans="1:7" s="11" customFormat="1" ht="60.75" customHeight="1">
      <c r="A160" s="24" t="s">
        <v>442</v>
      </c>
      <c r="B160" s="248" t="s">
        <v>427</v>
      </c>
      <c r="C160" s="249"/>
      <c r="D160" s="249"/>
      <c r="E160" s="249"/>
      <c r="F160" s="250"/>
      <c r="G160" s="25"/>
    </row>
    <row r="161" spans="1:6" s="11" customFormat="1" ht="24" customHeight="1">
      <c r="A161" s="268" t="s">
        <v>269</v>
      </c>
      <c r="B161" s="269" t="s">
        <v>260</v>
      </c>
      <c r="C161" s="269"/>
      <c r="D161" s="269"/>
      <c r="E161" s="244" t="s">
        <v>261</v>
      </c>
      <c r="F161" s="244" t="s">
        <v>263</v>
      </c>
    </row>
    <row r="162" spans="1:6" s="11" customFormat="1" ht="31.5">
      <c r="A162" s="268"/>
      <c r="B162" s="18" t="s">
        <v>265</v>
      </c>
      <c r="C162" s="18" t="s">
        <v>267</v>
      </c>
      <c r="D162" s="18" t="s">
        <v>266</v>
      </c>
      <c r="E162" s="247"/>
      <c r="F162" s="247"/>
    </row>
    <row r="163" spans="1:6" ht="12.75">
      <c r="A163" s="51" t="s">
        <v>344</v>
      </c>
      <c r="B163" s="52">
        <v>1</v>
      </c>
      <c r="C163" s="52">
        <v>0</v>
      </c>
      <c r="D163" s="52">
        <v>0</v>
      </c>
      <c r="E163" s="53">
        <v>1</v>
      </c>
      <c r="F163" s="52">
        <v>22</v>
      </c>
    </row>
    <row r="164" spans="1:6" ht="12.75">
      <c r="A164" s="51" t="s">
        <v>347</v>
      </c>
      <c r="B164" s="52">
        <v>1</v>
      </c>
      <c r="C164" s="52">
        <v>0</v>
      </c>
      <c r="D164" s="52">
        <v>0</v>
      </c>
      <c r="E164" s="53">
        <v>1</v>
      </c>
      <c r="F164" s="52">
        <v>38</v>
      </c>
    </row>
    <row r="165" spans="1:6" ht="12.75">
      <c r="A165" s="51" t="s">
        <v>352</v>
      </c>
      <c r="B165" s="52">
        <v>1</v>
      </c>
      <c r="C165" s="52">
        <v>0</v>
      </c>
      <c r="D165" s="52">
        <v>0</v>
      </c>
      <c r="E165" s="53">
        <v>1</v>
      </c>
      <c r="F165" s="52">
        <v>21</v>
      </c>
    </row>
    <row r="166" spans="1:6" ht="12.75">
      <c r="A166" s="51" t="s">
        <v>349</v>
      </c>
      <c r="B166" s="52">
        <v>1</v>
      </c>
      <c r="C166" s="52">
        <v>0</v>
      </c>
      <c r="D166" s="52">
        <v>0</v>
      </c>
      <c r="E166" s="53">
        <v>1</v>
      </c>
      <c r="F166" s="52">
        <v>45</v>
      </c>
    </row>
    <row r="167" spans="1:7" s="23" customFormat="1" ht="17.25" customHeight="1">
      <c r="A167" s="21" t="s">
        <v>184</v>
      </c>
      <c r="B167" s="22">
        <f>SUM(B163:B166)</f>
        <v>4</v>
      </c>
      <c r="C167" s="22">
        <f>SUM(C163:C166)</f>
        <v>0</v>
      </c>
      <c r="D167" s="22">
        <f>SUM(D163:D166)</f>
        <v>0</v>
      </c>
      <c r="E167" s="22">
        <f>SUM(E163:E166)</f>
        <v>4</v>
      </c>
      <c r="F167" s="22">
        <f>SUM(F163:F166)</f>
        <v>126</v>
      </c>
      <c r="G167" s="11"/>
    </row>
    <row r="168" spans="7:8" ht="12.75">
      <c r="G168" s="11"/>
      <c r="H168" s="11"/>
    </row>
    <row r="169" ht="12.75">
      <c r="A169" s="12" t="s">
        <v>428</v>
      </c>
    </row>
  </sheetData>
  <mergeCells count="53">
    <mergeCell ref="A161:A162"/>
    <mergeCell ref="B161:D161"/>
    <mergeCell ref="F161:F162"/>
    <mergeCell ref="B160:F160"/>
    <mergeCell ref="E161:E162"/>
    <mergeCell ref="A146:A147"/>
    <mergeCell ref="B146:D146"/>
    <mergeCell ref="F146:F147"/>
    <mergeCell ref="B145:F145"/>
    <mergeCell ref="E146:E147"/>
    <mergeCell ref="A133:A134"/>
    <mergeCell ref="B133:D133"/>
    <mergeCell ref="F133:F134"/>
    <mergeCell ref="B132:F132"/>
    <mergeCell ref="E133:E134"/>
    <mergeCell ref="B122:F122"/>
    <mergeCell ref="A123:A124"/>
    <mergeCell ref="B123:D123"/>
    <mergeCell ref="F123:F124"/>
    <mergeCell ref="E123:E124"/>
    <mergeCell ref="E102:E103"/>
    <mergeCell ref="A102:A103"/>
    <mergeCell ref="B102:D102"/>
    <mergeCell ref="F102:F103"/>
    <mergeCell ref="A86:A87"/>
    <mergeCell ref="B86:D86"/>
    <mergeCell ref="F86:F87"/>
    <mergeCell ref="B101:F101"/>
    <mergeCell ref="B59:D59"/>
    <mergeCell ref="A73:A74"/>
    <mergeCell ref="B73:D73"/>
    <mergeCell ref="F73:F74"/>
    <mergeCell ref="E73:E74"/>
    <mergeCell ref="B1:H1"/>
    <mergeCell ref="E59:E60"/>
    <mergeCell ref="B3:D3"/>
    <mergeCell ref="A3:A4"/>
    <mergeCell ref="E3:E4"/>
    <mergeCell ref="F3:F4"/>
    <mergeCell ref="G3:G4"/>
    <mergeCell ref="H3:H4"/>
    <mergeCell ref="B47:F47"/>
    <mergeCell ref="A48:A49"/>
    <mergeCell ref="A45:H45"/>
    <mergeCell ref="B85:F85"/>
    <mergeCell ref="E86:E87"/>
    <mergeCell ref="F48:F49"/>
    <mergeCell ref="B58:F58"/>
    <mergeCell ref="F59:F60"/>
    <mergeCell ref="B72:F72"/>
    <mergeCell ref="B48:D48"/>
    <mergeCell ref="E48:E49"/>
    <mergeCell ref="A59:A60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2"/>
  <headerFooter alignWithMargins="0">
    <oddFooter>&amp;C&amp;8&amp;P</oddFooter>
  </headerFooter>
  <rowBreaks count="2" manualBreakCount="2">
    <brk id="46" max="255" man="1"/>
    <brk id="12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1"/>
  <sheetViews>
    <sheetView zoomScale="75" zoomScaleNormal="75" workbookViewId="0" topLeftCell="A1">
      <selection activeCell="K28" sqref="K28"/>
    </sheetView>
  </sheetViews>
  <sheetFormatPr defaultColWidth="9.140625" defaultRowHeight="12.75"/>
  <cols>
    <col min="1" max="1" width="26.00390625" style="50" customWidth="1"/>
    <col min="2" max="3" width="9.140625" style="50" customWidth="1"/>
    <col min="4" max="4" width="11.7109375" style="50" customWidth="1"/>
    <col min="5" max="5" width="9.140625" style="50" customWidth="1"/>
    <col min="6" max="6" width="10.00390625" style="50" bestFit="1" customWidth="1"/>
    <col min="7" max="7" width="9.28125" style="50" bestFit="1" customWidth="1"/>
    <col min="8" max="8" width="10.8515625" style="50" customWidth="1"/>
    <col min="9" max="16384" width="9.140625" style="50" customWidth="1"/>
  </cols>
  <sheetData>
    <row r="1" spans="1:8" s="2" customFormat="1" ht="50.25" customHeight="1">
      <c r="A1" s="1" t="s">
        <v>443</v>
      </c>
      <c r="B1" s="237" t="s">
        <v>359</v>
      </c>
      <c r="C1" s="238"/>
      <c r="D1" s="238"/>
      <c r="E1" s="238"/>
      <c r="F1" s="238"/>
      <c r="G1" s="238"/>
      <c r="H1" s="252"/>
    </row>
    <row r="3" spans="1:8" s="2" customFormat="1" ht="24" customHeight="1">
      <c r="A3" s="255" t="s">
        <v>185</v>
      </c>
      <c r="B3" s="259" t="s">
        <v>260</v>
      </c>
      <c r="C3" s="260"/>
      <c r="D3" s="261"/>
      <c r="E3" s="257" t="s">
        <v>261</v>
      </c>
      <c r="F3" s="273" t="s">
        <v>262</v>
      </c>
      <c r="G3" s="257" t="s">
        <v>263</v>
      </c>
      <c r="H3" s="243" t="s">
        <v>264</v>
      </c>
    </row>
    <row r="4" spans="1:8" s="2" customFormat="1" ht="33.75">
      <c r="A4" s="256"/>
      <c r="B4" s="5" t="s">
        <v>265</v>
      </c>
      <c r="C4" s="6" t="s">
        <v>267</v>
      </c>
      <c r="D4" s="5" t="s">
        <v>266</v>
      </c>
      <c r="E4" s="258"/>
      <c r="F4" s="274"/>
      <c r="G4" s="258"/>
      <c r="H4" s="244"/>
    </row>
    <row r="5" spans="1:8" ht="12.75">
      <c r="A5" s="3" t="s">
        <v>250</v>
      </c>
      <c r="B5" s="39">
        <f>B49</f>
        <v>6</v>
      </c>
      <c r="C5" s="40">
        <f>C49</f>
        <v>6</v>
      </c>
      <c r="D5" s="40">
        <f>D49</f>
        <v>2</v>
      </c>
      <c r="E5" s="41">
        <f>E49</f>
        <v>14</v>
      </c>
      <c r="F5" s="85">
        <f>E5/$E$14*100</f>
        <v>7.865168539325842</v>
      </c>
      <c r="G5" s="39">
        <f>F49</f>
        <v>318</v>
      </c>
      <c r="H5" s="87">
        <f>G5/$G$14*100</f>
        <v>7.796028438342731</v>
      </c>
    </row>
    <row r="6" spans="1:8" ht="12.75">
      <c r="A6" s="3" t="s">
        <v>251</v>
      </c>
      <c r="B6" s="39">
        <f>B58</f>
        <v>7</v>
      </c>
      <c r="C6" s="40">
        <f>C58</f>
        <v>2</v>
      </c>
      <c r="D6" s="40">
        <f>D58</f>
        <v>0</v>
      </c>
      <c r="E6" s="41">
        <f>E58</f>
        <v>9</v>
      </c>
      <c r="F6" s="85">
        <f aca="true" t="shared" si="0" ref="F6:F14">E6/$E$14*100</f>
        <v>5.056179775280898</v>
      </c>
      <c r="G6" s="39">
        <f>F58</f>
        <v>327</v>
      </c>
      <c r="H6" s="87">
        <f aca="true" t="shared" si="1" ref="H6:H14">G6/$G$14*100</f>
        <v>8.01667075263545</v>
      </c>
    </row>
    <row r="7" spans="1:8" ht="12.75">
      <c r="A7" s="3" t="s">
        <v>252</v>
      </c>
      <c r="B7" s="39">
        <f>B83</f>
        <v>4</v>
      </c>
      <c r="C7" s="40">
        <f>C83</f>
        <v>1</v>
      </c>
      <c r="D7" s="40">
        <f>D83</f>
        <v>25</v>
      </c>
      <c r="E7" s="41">
        <f>E83</f>
        <v>30</v>
      </c>
      <c r="F7" s="85">
        <f t="shared" si="0"/>
        <v>16.853932584269664</v>
      </c>
      <c r="G7" s="39">
        <f>F83</f>
        <v>655</v>
      </c>
      <c r="H7" s="87">
        <f t="shared" si="1"/>
        <v>16.05785731797009</v>
      </c>
    </row>
    <row r="8" spans="1:8" ht="12.75">
      <c r="A8" s="3" t="s">
        <v>253</v>
      </c>
      <c r="B8" s="39">
        <f>B99</f>
        <v>15</v>
      </c>
      <c r="C8" s="40">
        <f>C99</f>
        <v>1</v>
      </c>
      <c r="D8" s="40">
        <f>D99</f>
        <v>3</v>
      </c>
      <c r="E8" s="41">
        <f>E99</f>
        <v>19</v>
      </c>
      <c r="F8" s="85">
        <f t="shared" si="0"/>
        <v>10.674157303370785</v>
      </c>
      <c r="G8" s="39">
        <f>F99</f>
        <v>545</v>
      </c>
      <c r="H8" s="87">
        <f t="shared" si="1"/>
        <v>13.361117921059082</v>
      </c>
    </row>
    <row r="9" spans="1:8" ht="12.75">
      <c r="A9" s="3" t="s">
        <v>254</v>
      </c>
      <c r="B9" s="39">
        <f>B117</f>
        <v>19</v>
      </c>
      <c r="C9" s="40">
        <f>C117</f>
        <v>3</v>
      </c>
      <c r="D9" s="40">
        <f>D117</f>
        <v>12</v>
      </c>
      <c r="E9" s="41">
        <f>E117</f>
        <v>34</v>
      </c>
      <c r="F9" s="85">
        <f t="shared" si="0"/>
        <v>19.101123595505616</v>
      </c>
      <c r="G9" s="39">
        <f>F117</f>
        <v>758</v>
      </c>
      <c r="H9" s="87">
        <f t="shared" si="1"/>
        <v>18.582986025986763</v>
      </c>
    </row>
    <row r="10" spans="1:8" ht="12.75">
      <c r="A10" s="3" t="s">
        <v>255</v>
      </c>
      <c r="B10" s="39">
        <f>B128</f>
        <v>4</v>
      </c>
      <c r="C10" s="40">
        <f>C128</f>
        <v>1</v>
      </c>
      <c r="D10" s="40">
        <f>D128</f>
        <v>1</v>
      </c>
      <c r="E10" s="41">
        <f>E128</f>
        <v>6</v>
      </c>
      <c r="F10" s="85">
        <f t="shared" si="0"/>
        <v>3.3707865168539324</v>
      </c>
      <c r="G10" s="39">
        <f>F128</f>
        <v>141</v>
      </c>
      <c r="H10" s="87">
        <f t="shared" si="1"/>
        <v>3.4567295905859283</v>
      </c>
    </row>
    <row r="11" spans="1:8" ht="12.75">
      <c r="A11" s="3" t="s">
        <v>256</v>
      </c>
      <c r="B11" s="39">
        <f>B140</f>
        <v>6</v>
      </c>
      <c r="C11" s="40">
        <f>C140</f>
        <v>5</v>
      </c>
      <c r="D11" s="40">
        <f>D140</f>
        <v>17</v>
      </c>
      <c r="E11" s="41">
        <f>E140</f>
        <v>28</v>
      </c>
      <c r="F11" s="85">
        <f t="shared" si="0"/>
        <v>15.730337078651685</v>
      </c>
      <c r="G11" s="39">
        <f>F140</f>
        <v>561</v>
      </c>
      <c r="H11" s="87">
        <f t="shared" si="1"/>
        <v>13.75337092424614</v>
      </c>
    </row>
    <row r="12" spans="1:8" ht="12.75">
      <c r="A12" s="3" t="s">
        <v>257</v>
      </c>
      <c r="B12" s="39">
        <f>B162</f>
        <v>6</v>
      </c>
      <c r="C12" s="40">
        <f>C162</f>
        <v>4</v>
      </c>
      <c r="D12" s="40">
        <f>D162</f>
        <v>25</v>
      </c>
      <c r="E12" s="41">
        <f>E162</f>
        <v>35</v>
      </c>
      <c r="F12" s="85">
        <f t="shared" si="0"/>
        <v>19.662921348314608</v>
      </c>
      <c r="G12" s="39">
        <f>F162</f>
        <v>711</v>
      </c>
      <c r="H12" s="87">
        <f t="shared" si="1"/>
        <v>17.430742829124785</v>
      </c>
    </row>
    <row r="13" spans="1:8" ht="12.75">
      <c r="A13" s="3" t="s">
        <v>258</v>
      </c>
      <c r="B13" s="39">
        <f>B169</f>
        <v>3</v>
      </c>
      <c r="C13" s="39">
        <f>C169</f>
        <v>0</v>
      </c>
      <c r="D13" s="39">
        <f>D169</f>
        <v>0</v>
      </c>
      <c r="E13" s="101">
        <f>E169</f>
        <v>3</v>
      </c>
      <c r="F13" s="85">
        <f t="shared" si="0"/>
        <v>1.6853932584269662</v>
      </c>
      <c r="G13" s="39">
        <f>F169</f>
        <v>63</v>
      </c>
      <c r="H13" s="87">
        <f t="shared" si="1"/>
        <v>1.5444962000490317</v>
      </c>
    </row>
    <row r="14" spans="1:8" s="16" customFormat="1" ht="19.5" customHeight="1">
      <c r="A14" s="4" t="s">
        <v>259</v>
      </c>
      <c r="B14" s="45">
        <f>SUM(B5:B13)</f>
        <v>70</v>
      </c>
      <c r="C14" s="45">
        <f>SUM(C5:C13)</f>
        <v>23</v>
      </c>
      <c r="D14" s="45">
        <f>SUM(D5:D13)</f>
        <v>85</v>
      </c>
      <c r="E14" s="45">
        <f>SUM(E5:E13)</f>
        <v>178</v>
      </c>
      <c r="F14" s="86">
        <f t="shared" si="0"/>
        <v>100</v>
      </c>
      <c r="G14" s="45">
        <f>SUM(G5:G13)</f>
        <v>4079</v>
      </c>
      <c r="H14" s="88">
        <f t="shared" si="1"/>
        <v>100</v>
      </c>
    </row>
    <row r="16" spans="1:5" s="2" customFormat="1" ht="11.25">
      <c r="A16" s="7" t="s">
        <v>268</v>
      </c>
      <c r="D16" s="8"/>
      <c r="E16" s="9"/>
    </row>
    <row r="17" s="2" customFormat="1" ht="11.25">
      <c r="A17" s="7"/>
    </row>
    <row r="18" s="2" customFormat="1" ht="11.25">
      <c r="A18" s="7"/>
    </row>
    <row r="19" s="2" customFormat="1" ht="11.25">
      <c r="A19" s="7"/>
    </row>
    <row r="20" spans="1:3" s="2" customFormat="1" ht="11.25">
      <c r="A20" s="7"/>
      <c r="B20" s="3" t="s">
        <v>250</v>
      </c>
      <c r="C20" s="89">
        <f>E5</f>
        <v>14</v>
      </c>
    </row>
    <row r="21" spans="1:3" s="2" customFormat="1" ht="11.25">
      <c r="A21" s="7"/>
      <c r="B21" s="3" t="s">
        <v>251</v>
      </c>
      <c r="C21" s="89">
        <f aca="true" t="shared" si="2" ref="C21:C28">E6</f>
        <v>9</v>
      </c>
    </row>
    <row r="22" spans="1:3" s="2" customFormat="1" ht="11.25">
      <c r="A22" s="7"/>
      <c r="B22" s="3" t="s">
        <v>252</v>
      </c>
      <c r="C22" s="89">
        <f t="shared" si="2"/>
        <v>30</v>
      </c>
    </row>
    <row r="23" spans="1:3" s="2" customFormat="1" ht="11.25">
      <c r="A23" s="7"/>
      <c r="B23" s="3" t="s">
        <v>253</v>
      </c>
      <c r="C23" s="89">
        <f t="shared" si="2"/>
        <v>19</v>
      </c>
    </row>
    <row r="24" spans="1:3" s="2" customFormat="1" ht="11.25">
      <c r="A24" s="7"/>
      <c r="B24" s="3" t="s">
        <v>254</v>
      </c>
      <c r="C24" s="89">
        <f t="shared" si="2"/>
        <v>34</v>
      </c>
    </row>
    <row r="25" spans="1:3" s="2" customFormat="1" ht="11.25">
      <c r="A25" s="7"/>
      <c r="B25" s="3" t="s">
        <v>255</v>
      </c>
      <c r="C25" s="89">
        <f t="shared" si="2"/>
        <v>6</v>
      </c>
    </row>
    <row r="26" spans="1:3" s="2" customFormat="1" ht="11.25">
      <c r="A26" s="7"/>
      <c r="B26" s="3" t="s">
        <v>256</v>
      </c>
      <c r="C26" s="89">
        <f t="shared" si="2"/>
        <v>28</v>
      </c>
    </row>
    <row r="27" spans="1:3" s="2" customFormat="1" ht="11.25">
      <c r="A27" s="7"/>
      <c r="B27" s="3" t="s">
        <v>257</v>
      </c>
      <c r="C27" s="89">
        <f t="shared" si="2"/>
        <v>35</v>
      </c>
    </row>
    <row r="28" spans="1:3" s="2" customFormat="1" ht="11.25">
      <c r="A28" s="7"/>
      <c r="B28" s="3" t="s">
        <v>258</v>
      </c>
      <c r="C28" s="89">
        <f t="shared" si="2"/>
        <v>3</v>
      </c>
    </row>
    <row r="29" s="2" customFormat="1" ht="11.25">
      <c r="A29" s="7"/>
    </row>
    <row r="30" s="2" customFormat="1" ht="11.25">
      <c r="A30" s="7"/>
    </row>
    <row r="31" s="2" customFormat="1" ht="11.25">
      <c r="A31" s="7"/>
    </row>
    <row r="32" s="2" customFormat="1" ht="11.25">
      <c r="A32" s="7"/>
    </row>
    <row r="33" s="2" customFormat="1" ht="11.25">
      <c r="A33" s="7"/>
    </row>
    <row r="34" s="2" customFormat="1" ht="11.25">
      <c r="A34" s="7"/>
    </row>
    <row r="35" s="2" customFormat="1" ht="11.25">
      <c r="A35" s="7"/>
    </row>
    <row r="36" s="2" customFormat="1" ht="11.25">
      <c r="A36" s="7"/>
    </row>
    <row r="37" s="2" customFormat="1" ht="11.25">
      <c r="A37" s="7"/>
    </row>
    <row r="38" spans="1:8" s="2" customFormat="1" ht="33.75" customHeight="1">
      <c r="A38" s="245" t="s">
        <v>272</v>
      </c>
      <c r="B38" s="245"/>
      <c r="C38" s="245"/>
      <c r="D38" s="245"/>
      <c r="E38" s="245"/>
      <c r="F38" s="245"/>
      <c r="G38" s="245"/>
      <c r="H38" s="245"/>
    </row>
    <row r="39" s="2" customFormat="1" ht="11.25">
      <c r="A39" s="7"/>
    </row>
    <row r="40" spans="1:10" s="11" customFormat="1" ht="60.75" customHeight="1">
      <c r="A40" s="24" t="s">
        <v>443</v>
      </c>
      <c r="B40" s="248" t="s">
        <v>369</v>
      </c>
      <c r="C40" s="249"/>
      <c r="D40" s="249"/>
      <c r="E40" s="249"/>
      <c r="F40" s="250"/>
      <c r="G40" s="44"/>
      <c r="H40" s="44"/>
      <c r="I40" s="44"/>
      <c r="J40" s="25"/>
    </row>
    <row r="41" spans="1:6" s="11" customFormat="1" ht="24" customHeight="1">
      <c r="A41" s="268" t="s">
        <v>269</v>
      </c>
      <c r="B41" s="271" t="s">
        <v>260</v>
      </c>
      <c r="C41" s="246"/>
      <c r="D41" s="272"/>
      <c r="E41" s="247" t="s">
        <v>261</v>
      </c>
      <c r="F41" s="247" t="s">
        <v>263</v>
      </c>
    </row>
    <row r="42" spans="1:6" s="11" customFormat="1" ht="31.5">
      <c r="A42" s="268"/>
      <c r="B42" s="62" t="s">
        <v>265</v>
      </c>
      <c r="C42" s="18" t="s">
        <v>267</v>
      </c>
      <c r="D42" s="65" t="s">
        <v>266</v>
      </c>
      <c r="E42" s="247"/>
      <c r="F42" s="247"/>
    </row>
    <row r="43" spans="1:6" s="55" customFormat="1" ht="12.75" customHeight="1">
      <c r="A43" s="94" t="s">
        <v>192</v>
      </c>
      <c r="B43" s="135">
        <v>0</v>
      </c>
      <c r="C43" s="136">
        <v>1</v>
      </c>
      <c r="D43" s="137">
        <v>0</v>
      </c>
      <c r="E43" s="143">
        <f>SUM(B43:D43)</f>
        <v>1</v>
      </c>
      <c r="F43" s="84">
        <v>12</v>
      </c>
    </row>
    <row r="44" spans="1:6" s="55" customFormat="1" ht="12.75" customHeight="1">
      <c r="A44" s="81" t="s">
        <v>193</v>
      </c>
      <c r="B44" s="138">
        <v>0</v>
      </c>
      <c r="C44" s="139">
        <v>1</v>
      </c>
      <c r="D44" s="100">
        <v>0</v>
      </c>
      <c r="E44" s="144">
        <f aca="true" t="shared" si="3" ref="E44:E49">SUM(B44:D44)</f>
        <v>1</v>
      </c>
      <c r="F44" s="70">
        <v>14</v>
      </c>
    </row>
    <row r="45" spans="1:6" s="55" customFormat="1" ht="12.75" customHeight="1">
      <c r="A45" s="81" t="s">
        <v>250</v>
      </c>
      <c r="B45" s="138">
        <v>5</v>
      </c>
      <c r="C45" s="139">
        <v>3</v>
      </c>
      <c r="D45" s="100">
        <v>1</v>
      </c>
      <c r="E45" s="144">
        <f t="shared" si="3"/>
        <v>9</v>
      </c>
      <c r="F45" s="70">
        <v>230</v>
      </c>
    </row>
    <row r="46" spans="1:6" s="55" customFormat="1" ht="12.75" customHeight="1">
      <c r="A46" s="81" t="s">
        <v>195</v>
      </c>
      <c r="B46" s="138">
        <v>1</v>
      </c>
      <c r="C46" s="139">
        <v>0</v>
      </c>
      <c r="D46" s="100">
        <v>0</v>
      </c>
      <c r="E46" s="144">
        <f t="shared" si="3"/>
        <v>1</v>
      </c>
      <c r="F46" s="70">
        <v>30</v>
      </c>
    </row>
    <row r="47" spans="1:6" s="55" customFormat="1" ht="12.75" customHeight="1">
      <c r="A47" s="81" t="s">
        <v>196</v>
      </c>
      <c r="B47" s="138">
        <v>0</v>
      </c>
      <c r="C47" s="139">
        <v>0</v>
      </c>
      <c r="D47" s="100">
        <v>1</v>
      </c>
      <c r="E47" s="144">
        <f t="shared" si="3"/>
        <v>1</v>
      </c>
      <c r="F47" s="70">
        <v>18</v>
      </c>
    </row>
    <row r="48" spans="1:6" s="55" customFormat="1" ht="12.75" customHeight="1">
      <c r="A48" s="83" t="s">
        <v>239</v>
      </c>
      <c r="B48" s="140">
        <v>0</v>
      </c>
      <c r="C48" s="141">
        <v>1</v>
      </c>
      <c r="D48" s="142">
        <v>0</v>
      </c>
      <c r="E48" s="145">
        <f t="shared" si="3"/>
        <v>1</v>
      </c>
      <c r="F48" s="79">
        <v>14</v>
      </c>
    </row>
    <row r="49" spans="1:7" s="23" customFormat="1" ht="17.25" customHeight="1">
      <c r="A49" s="21" t="s">
        <v>270</v>
      </c>
      <c r="B49" s="22">
        <f>SUM(B43:B48)</f>
        <v>6</v>
      </c>
      <c r="C49" s="22">
        <f>SUM(C43:C48)</f>
        <v>6</v>
      </c>
      <c r="D49" s="32">
        <f>SUM(D43:D48)</f>
        <v>2</v>
      </c>
      <c r="E49" s="22">
        <f t="shared" si="3"/>
        <v>14</v>
      </c>
      <c r="F49" s="22">
        <f>SUM(F43:F48)</f>
        <v>318</v>
      </c>
      <c r="G49" s="11"/>
    </row>
    <row r="50" s="55" customFormat="1" ht="10.5"/>
    <row r="51" s="55" customFormat="1" ht="10.5"/>
    <row r="52" spans="1:10" s="11" customFormat="1" ht="60.75" customHeight="1">
      <c r="A52" s="24" t="s">
        <v>443</v>
      </c>
      <c r="B52" s="248" t="s">
        <v>370</v>
      </c>
      <c r="C52" s="249"/>
      <c r="D52" s="249"/>
      <c r="E52" s="249"/>
      <c r="F52" s="250"/>
      <c r="G52" s="44"/>
      <c r="H52" s="44"/>
      <c r="I52" s="44"/>
      <c r="J52" s="25"/>
    </row>
    <row r="53" spans="1:6" s="11" customFormat="1" ht="24" customHeight="1">
      <c r="A53" s="268" t="s">
        <v>269</v>
      </c>
      <c r="B53" s="269" t="s">
        <v>260</v>
      </c>
      <c r="C53" s="269"/>
      <c r="D53" s="269"/>
      <c r="E53" s="244" t="s">
        <v>261</v>
      </c>
      <c r="F53" s="244" t="s">
        <v>263</v>
      </c>
    </row>
    <row r="54" spans="1:6" s="11" customFormat="1" ht="37.5" customHeight="1">
      <c r="A54" s="268"/>
      <c r="B54" s="18" t="s">
        <v>265</v>
      </c>
      <c r="C54" s="18" t="s">
        <v>267</v>
      </c>
      <c r="D54" s="18" t="s">
        <v>266</v>
      </c>
      <c r="E54" s="247"/>
      <c r="F54" s="247"/>
    </row>
    <row r="55" spans="1:6" s="55" customFormat="1" ht="12.75" customHeight="1">
      <c r="A55" s="81" t="s">
        <v>199</v>
      </c>
      <c r="B55" s="95">
        <v>1</v>
      </c>
      <c r="C55" s="98">
        <v>0</v>
      </c>
      <c r="D55" s="99">
        <v>0</v>
      </c>
      <c r="E55" s="96">
        <f>SUM(B55:D55)</f>
        <v>1</v>
      </c>
      <c r="F55" s="97">
        <v>22</v>
      </c>
    </row>
    <row r="56" spans="1:6" s="55" customFormat="1" ht="12.75" customHeight="1">
      <c r="A56" s="81" t="s">
        <v>371</v>
      </c>
      <c r="B56" s="95">
        <v>0</v>
      </c>
      <c r="C56" s="98">
        <v>1</v>
      </c>
      <c r="D56" s="99">
        <v>0</v>
      </c>
      <c r="E56" s="96">
        <f>SUM(B56:D56)</f>
        <v>1</v>
      </c>
      <c r="F56" s="97">
        <v>10</v>
      </c>
    </row>
    <row r="57" spans="1:6" s="55" customFormat="1" ht="12.75" customHeight="1">
      <c r="A57" s="81" t="s">
        <v>251</v>
      </c>
      <c r="B57" s="95">
        <v>6</v>
      </c>
      <c r="C57" s="98">
        <v>1</v>
      </c>
      <c r="D57" s="99">
        <v>0</v>
      </c>
      <c r="E57" s="96">
        <v>7</v>
      </c>
      <c r="F57" s="97">
        <v>295</v>
      </c>
    </row>
    <row r="58" spans="1:7" s="23" customFormat="1" ht="17.25" customHeight="1">
      <c r="A58" s="21" t="s">
        <v>271</v>
      </c>
      <c r="B58" s="22">
        <f>SUM(B55:B57)</f>
        <v>7</v>
      </c>
      <c r="C58" s="22">
        <f>SUM(C55:C57)</f>
        <v>2</v>
      </c>
      <c r="D58" s="22">
        <f>SUM(D55:D57)</f>
        <v>0</v>
      </c>
      <c r="E58" s="22">
        <f>SUM(E55:E57)</f>
        <v>9</v>
      </c>
      <c r="F58" s="22">
        <f>SUM(F55:F57)</f>
        <v>327</v>
      </c>
      <c r="G58" s="11"/>
    </row>
    <row r="61" spans="1:6" s="11" customFormat="1" ht="60.75" customHeight="1">
      <c r="A61" s="24" t="s">
        <v>443</v>
      </c>
      <c r="B61" s="248" t="s">
        <v>398</v>
      </c>
      <c r="C61" s="249"/>
      <c r="D61" s="249"/>
      <c r="E61" s="249"/>
      <c r="F61" s="250"/>
    </row>
    <row r="62" spans="1:6" s="11" customFormat="1" ht="24" customHeight="1">
      <c r="A62" s="268" t="s">
        <v>269</v>
      </c>
      <c r="B62" s="269" t="s">
        <v>260</v>
      </c>
      <c r="C62" s="269"/>
      <c r="D62" s="269"/>
      <c r="E62" s="244" t="s">
        <v>261</v>
      </c>
      <c r="F62" s="244" t="s">
        <v>263</v>
      </c>
    </row>
    <row r="63" spans="1:6" s="11" customFormat="1" ht="37.5" customHeight="1">
      <c r="A63" s="268"/>
      <c r="B63" s="18" t="s">
        <v>265</v>
      </c>
      <c r="C63" s="18" t="s">
        <v>267</v>
      </c>
      <c r="D63" s="18" t="s">
        <v>266</v>
      </c>
      <c r="E63" s="247"/>
      <c r="F63" s="247"/>
    </row>
    <row r="64" spans="1:6" s="55" customFormat="1" ht="12.75" customHeight="1">
      <c r="A64" s="81" t="s">
        <v>218</v>
      </c>
      <c r="B64" s="95">
        <v>1</v>
      </c>
      <c r="C64" s="98">
        <v>0</v>
      </c>
      <c r="D64" s="100">
        <v>2</v>
      </c>
      <c r="E64" s="96">
        <v>3</v>
      </c>
      <c r="F64" s="97">
        <v>82</v>
      </c>
    </row>
    <row r="65" spans="1:6" s="55" customFormat="1" ht="12.75" customHeight="1">
      <c r="A65" s="81" t="s">
        <v>219</v>
      </c>
      <c r="B65" s="95">
        <v>0</v>
      </c>
      <c r="C65" s="98">
        <v>0</v>
      </c>
      <c r="D65" s="100">
        <v>1</v>
      </c>
      <c r="E65" s="96">
        <v>1</v>
      </c>
      <c r="F65" s="97">
        <v>20</v>
      </c>
    </row>
    <row r="66" spans="1:6" s="55" customFormat="1" ht="12.75" customHeight="1">
      <c r="A66" s="81" t="s">
        <v>222</v>
      </c>
      <c r="B66" s="95">
        <v>0</v>
      </c>
      <c r="C66" s="98">
        <v>0</v>
      </c>
      <c r="D66" s="100">
        <v>1</v>
      </c>
      <c r="E66" s="96">
        <v>1</v>
      </c>
      <c r="F66" s="97">
        <v>18</v>
      </c>
    </row>
    <row r="67" spans="1:6" s="55" customFormat="1" ht="12.75" customHeight="1">
      <c r="A67" s="81" t="s">
        <v>277</v>
      </c>
      <c r="B67" s="95">
        <v>0</v>
      </c>
      <c r="C67" s="98">
        <v>0</v>
      </c>
      <c r="D67" s="100">
        <v>1</v>
      </c>
      <c r="E67" s="96">
        <v>1</v>
      </c>
      <c r="F67" s="97">
        <v>24</v>
      </c>
    </row>
    <row r="68" spans="1:6" s="55" customFormat="1" ht="12.75" customHeight="1">
      <c r="A68" s="81" t="s">
        <v>278</v>
      </c>
      <c r="B68" s="95">
        <v>0</v>
      </c>
      <c r="C68" s="98">
        <v>0</v>
      </c>
      <c r="D68" s="100">
        <v>1</v>
      </c>
      <c r="E68" s="96">
        <v>1</v>
      </c>
      <c r="F68" s="97">
        <v>20</v>
      </c>
    </row>
    <row r="69" spans="1:6" s="55" customFormat="1" ht="12.75" customHeight="1">
      <c r="A69" s="81" t="s">
        <v>279</v>
      </c>
      <c r="B69" s="95">
        <v>0</v>
      </c>
      <c r="C69" s="98">
        <v>0</v>
      </c>
      <c r="D69" s="100">
        <v>1</v>
      </c>
      <c r="E69" s="96">
        <v>1</v>
      </c>
      <c r="F69" s="97">
        <v>16</v>
      </c>
    </row>
    <row r="70" spans="1:6" s="55" customFormat="1" ht="12.75" customHeight="1">
      <c r="A70" s="81" t="s">
        <v>281</v>
      </c>
      <c r="B70" s="95">
        <v>0</v>
      </c>
      <c r="C70" s="98">
        <v>0</v>
      </c>
      <c r="D70" s="100">
        <v>1</v>
      </c>
      <c r="E70" s="96">
        <v>1</v>
      </c>
      <c r="F70" s="97">
        <v>20</v>
      </c>
    </row>
    <row r="71" spans="1:6" s="55" customFormat="1" ht="12.75" customHeight="1">
      <c r="A71" s="81" t="s">
        <v>282</v>
      </c>
      <c r="B71" s="95">
        <v>0</v>
      </c>
      <c r="C71" s="98">
        <v>0</v>
      </c>
      <c r="D71" s="100">
        <v>1</v>
      </c>
      <c r="E71" s="96">
        <v>1</v>
      </c>
      <c r="F71" s="97">
        <v>10</v>
      </c>
    </row>
    <row r="72" spans="1:6" s="55" customFormat="1" ht="12.75" customHeight="1">
      <c r="A72" s="81" t="s">
        <v>284</v>
      </c>
      <c r="B72" s="95">
        <v>1</v>
      </c>
      <c r="C72" s="98">
        <v>0</v>
      </c>
      <c r="D72" s="100">
        <v>0</v>
      </c>
      <c r="E72" s="96">
        <v>1</v>
      </c>
      <c r="F72" s="97">
        <v>27</v>
      </c>
    </row>
    <row r="73" spans="1:6" s="55" customFormat="1" ht="12.75" customHeight="1">
      <c r="A73" s="81" t="s">
        <v>286</v>
      </c>
      <c r="B73" s="95">
        <v>0</v>
      </c>
      <c r="C73" s="98">
        <v>0</v>
      </c>
      <c r="D73" s="100">
        <v>1</v>
      </c>
      <c r="E73" s="96">
        <v>1</v>
      </c>
      <c r="F73" s="97">
        <v>20</v>
      </c>
    </row>
    <row r="74" spans="1:6" s="55" customFormat="1" ht="12.75" customHeight="1">
      <c r="A74" s="81" t="s">
        <v>291</v>
      </c>
      <c r="B74" s="95">
        <v>0</v>
      </c>
      <c r="C74" s="98">
        <v>1</v>
      </c>
      <c r="D74" s="100">
        <v>0</v>
      </c>
      <c r="E74" s="96">
        <v>1</v>
      </c>
      <c r="F74" s="97">
        <v>16</v>
      </c>
    </row>
    <row r="75" spans="1:6" s="55" customFormat="1" ht="12.75" customHeight="1">
      <c r="A75" s="81" t="s">
        <v>293</v>
      </c>
      <c r="B75" s="95">
        <v>0</v>
      </c>
      <c r="C75" s="98">
        <v>0</v>
      </c>
      <c r="D75" s="100">
        <v>3</v>
      </c>
      <c r="E75" s="96">
        <v>3</v>
      </c>
      <c r="F75" s="97">
        <v>81</v>
      </c>
    </row>
    <row r="76" spans="1:6" s="55" customFormat="1" ht="12.75" customHeight="1">
      <c r="A76" s="81" t="s">
        <v>294</v>
      </c>
      <c r="B76" s="95">
        <v>0</v>
      </c>
      <c r="C76" s="98">
        <v>0</v>
      </c>
      <c r="D76" s="100">
        <v>6</v>
      </c>
      <c r="E76" s="96">
        <v>6</v>
      </c>
      <c r="F76" s="97">
        <v>132</v>
      </c>
    </row>
    <row r="77" spans="1:6" s="55" customFormat="1" ht="12.75" customHeight="1">
      <c r="A77" s="81" t="s">
        <v>295</v>
      </c>
      <c r="B77" s="95">
        <v>0</v>
      </c>
      <c r="C77" s="98">
        <v>0</v>
      </c>
      <c r="D77" s="100">
        <v>2</v>
      </c>
      <c r="E77" s="96">
        <v>2</v>
      </c>
      <c r="F77" s="97">
        <v>25</v>
      </c>
    </row>
    <row r="78" spans="1:6" s="55" customFormat="1" ht="12.75" customHeight="1">
      <c r="A78" s="81" t="s">
        <v>297</v>
      </c>
      <c r="B78" s="95">
        <v>0</v>
      </c>
      <c r="C78" s="98">
        <v>0</v>
      </c>
      <c r="D78" s="100">
        <v>1</v>
      </c>
      <c r="E78" s="96">
        <v>1</v>
      </c>
      <c r="F78" s="97">
        <v>10</v>
      </c>
    </row>
    <row r="79" spans="1:6" s="55" customFormat="1" ht="12.75" customHeight="1">
      <c r="A79" s="81" t="s">
        <v>246</v>
      </c>
      <c r="B79" s="95">
        <v>1</v>
      </c>
      <c r="C79" s="98">
        <v>0</v>
      </c>
      <c r="D79" s="100">
        <v>0</v>
      </c>
      <c r="E79" s="96">
        <v>1</v>
      </c>
      <c r="F79" s="97">
        <v>56</v>
      </c>
    </row>
    <row r="80" spans="1:6" s="55" customFormat="1" ht="12.75" customHeight="1">
      <c r="A80" s="81" t="s">
        <v>301</v>
      </c>
      <c r="B80" s="95">
        <v>0</v>
      </c>
      <c r="C80" s="98">
        <v>0</v>
      </c>
      <c r="D80" s="100">
        <v>1</v>
      </c>
      <c r="E80" s="96">
        <v>1</v>
      </c>
      <c r="F80" s="97">
        <v>20</v>
      </c>
    </row>
    <row r="81" spans="1:6" s="55" customFormat="1" ht="12.75" customHeight="1">
      <c r="A81" s="81" t="s">
        <v>302</v>
      </c>
      <c r="B81" s="95">
        <v>1</v>
      </c>
      <c r="C81" s="98">
        <v>0</v>
      </c>
      <c r="D81" s="100">
        <v>0</v>
      </c>
      <c r="E81" s="96">
        <v>1</v>
      </c>
      <c r="F81" s="97">
        <v>24</v>
      </c>
    </row>
    <row r="82" spans="1:6" s="55" customFormat="1" ht="12.75" customHeight="1">
      <c r="A82" s="81" t="s">
        <v>303</v>
      </c>
      <c r="B82" s="95">
        <v>0</v>
      </c>
      <c r="C82" s="98">
        <v>0</v>
      </c>
      <c r="D82" s="100">
        <v>2</v>
      </c>
      <c r="E82" s="96">
        <v>2</v>
      </c>
      <c r="F82" s="97">
        <v>34</v>
      </c>
    </row>
    <row r="83" spans="1:7" s="23" customFormat="1" ht="17.25" customHeight="1">
      <c r="A83" s="21" t="s">
        <v>223</v>
      </c>
      <c r="B83" s="22">
        <f>SUM(B64:B82)</f>
        <v>4</v>
      </c>
      <c r="C83" s="22">
        <f>SUM(C64:C82)</f>
        <v>1</v>
      </c>
      <c r="D83" s="22">
        <f>SUM(D64:D82)</f>
        <v>25</v>
      </c>
      <c r="E83" s="22">
        <f>SUM(E64:E82)</f>
        <v>30</v>
      </c>
      <c r="F83" s="22">
        <f>SUM(F64:F82)</f>
        <v>655</v>
      </c>
      <c r="G83" s="11"/>
    </row>
    <row r="86" spans="1:6" s="11" customFormat="1" ht="60.75" customHeight="1">
      <c r="A86" s="24" t="s">
        <v>443</v>
      </c>
      <c r="B86" s="248" t="s">
        <v>400</v>
      </c>
      <c r="C86" s="249"/>
      <c r="D86" s="249"/>
      <c r="E86" s="249"/>
      <c r="F86" s="250"/>
    </row>
    <row r="87" spans="1:6" s="11" customFormat="1" ht="24" customHeight="1">
      <c r="A87" s="268" t="s">
        <v>269</v>
      </c>
      <c r="B87" s="269" t="s">
        <v>260</v>
      </c>
      <c r="C87" s="269"/>
      <c r="D87" s="269"/>
      <c r="E87" s="244" t="s">
        <v>261</v>
      </c>
      <c r="F87" s="244" t="s">
        <v>263</v>
      </c>
    </row>
    <row r="88" spans="1:6" s="11" customFormat="1" ht="37.5" customHeight="1">
      <c r="A88" s="268"/>
      <c r="B88" s="18" t="s">
        <v>265</v>
      </c>
      <c r="C88" s="18" t="s">
        <v>267</v>
      </c>
      <c r="D88" s="18" t="s">
        <v>266</v>
      </c>
      <c r="E88" s="247"/>
      <c r="F88" s="247"/>
    </row>
    <row r="89" spans="1:6" s="55" customFormat="1" ht="12.75" customHeight="1">
      <c r="A89" s="81" t="s">
        <v>307</v>
      </c>
      <c r="B89" s="95">
        <v>4</v>
      </c>
      <c r="C89" s="98">
        <v>0</v>
      </c>
      <c r="D89" s="100">
        <v>1</v>
      </c>
      <c r="E89" s="96">
        <v>5</v>
      </c>
      <c r="F89" s="97">
        <v>199</v>
      </c>
    </row>
    <row r="90" spans="1:6" s="55" customFormat="1" ht="12.75" customHeight="1">
      <c r="A90" s="81" t="s">
        <v>314</v>
      </c>
      <c r="B90" s="95">
        <v>0</v>
      </c>
      <c r="C90" s="98">
        <v>1</v>
      </c>
      <c r="D90" s="100">
        <v>0</v>
      </c>
      <c r="E90" s="96">
        <v>1</v>
      </c>
      <c r="F90" s="97">
        <v>14</v>
      </c>
    </row>
    <row r="91" spans="1:6" s="55" customFormat="1" ht="12.75" customHeight="1">
      <c r="A91" s="81" t="s">
        <v>315</v>
      </c>
      <c r="B91" s="95">
        <v>1</v>
      </c>
      <c r="C91" s="98">
        <v>0</v>
      </c>
      <c r="D91" s="100">
        <v>0</v>
      </c>
      <c r="E91" s="96">
        <v>1</v>
      </c>
      <c r="F91" s="97">
        <v>35</v>
      </c>
    </row>
    <row r="92" spans="1:6" s="55" customFormat="1" ht="12.75" customHeight="1">
      <c r="A92" s="81" t="s">
        <v>317</v>
      </c>
      <c r="B92" s="95">
        <v>1</v>
      </c>
      <c r="C92" s="98">
        <v>0</v>
      </c>
      <c r="D92" s="100">
        <v>0</v>
      </c>
      <c r="E92" s="96">
        <v>1</v>
      </c>
      <c r="F92" s="97">
        <v>10</v>
      </c>
    </row>
    <row r="93" spans="1:6" s="55" customFormat="1" ht="12.75" customHeight="1">
      <c r="A93" s="81" t="s">
        <v>319</v>
      </c>
      <c r="B93" s="95">
        <v>1</v>
      </c>
      <c r="C93" s="98">
        <v>0</v>
      </c>
      <c r="D93" s="100">
        <v>0</v>
      </c>
      <c r="E93" s="96">
        <v>1</v>
      </c>
      <c r="F93" s="97">
        <v>22</v>
      </c>
    </row>
    <row r="94" spans="1:6" s="55" customFormat="1" ht="12.75" customHeight="1">
      <c r="A94" s="81" t="s">
        <v>253</v>
      </c>
      <c r="B94" s="95">
        <v>2</v>
      </c>
      <c r="C94" s="98">
        <v>0</v>
      </c>
      <c r="D94" s="100">
        <v>1</v>
      </c>
      <c r="E94" s="96">
        <v>3</v>
      </c>
      <c r="F94" s="97">
        <v>104</v>
      </c>
    </row>
    <row r="95" spans="1:6" s="55" customFormat="1" ht="12.75" customHeight="1">
      <c r="A95" s="81" t="s">
        <v>328</v>
      </c>
      <c r="B95" s="95">
        <v>0</v>
      </c>
      <c r="C95" s="98">
        <v>0</v>
      </c>
      <c r="D95" s="100">
        <v>1</v>
      </c>
      <c r="E95" s="96">
        <v>1</v>
      </c>
      <c r="F95" s="97">
        <v>12</v>
      </c>
    </row>
    <row r="96" spans="1:6" s="55" customFormat="1" ht="12.75" customHeight="1">
      <c r="A96" s="81" t="s">
        <v>330</v>
      </c>
      <c r="B96" s="95">
        <v>4</v>
      </c>
      <c r="C96" s="98">
        <v>0</v>
      </c>
      <c r="D96" s="100">
        <v>0</v>
      </c>
      <c r="E96" s="96">
        <v>4</v>
      </c>
      <c r="F96" s="97">
        <v>114</v>
      </c>
    </row>
    <row r="97" spans="1:6" s="55" customFormat="1" ht="12.75" customHeight="1">
      <c r="A97" s="81" t="s">
        <v>334</v>
      </c>
      <c r="B97" s="95">
        <v>1</v>
      </c>
      <c r="C97" s="98">
        <v>0</v>
      </c>
      <c r="D97" s="100">
        <v>0</v>
      </c>
      <c r="E97" s="96">
        <v>1</v>
      </c>
      <c r="F97" s="97">
        <v>22</v>
      </c>
    </row>
    <row r="98" spans="1:6" s="55" customFormat="1" ht="12.75" customHeight="1">
      <c r="A98" s="81" t="s">
        <v>248</v>
      </c>
      <c r="B98" s="95">
        <v>1</v>
      </c>
      <c r="C98" s="98">
        <v>0</v>
      </c>
      <c r="D98" s="100">
        <v>0</v>
      </c>
      <c r="E98" s="96">
        <v>1</v>
      </c>
      <c r="F98" s="97">
        <v>13</v>
      </c>
    </row>
    <row r="99" spans="1:7" s="23" customFormat="1" ht="17.25" customHeight="1">
      <c r="A99" s="21" t="s">
        <v>224</v>
      </c>
      <c r="B99" s="22">
        <f>SUM(B89:B98)</f>
        <v>15</v>
      </c>
      <c r="C99" s="22">
        <f>SUM(C89:C98)</f>
        <v>1</v>
      </c>
      <c r="D99" s="22">
        <f>SUM(D89:D98)</f>
        <v>3</v>
      </c>
      <c r="E99" s="22">
        <f>SUM(E89:E98)</f>
        <v>19</v>
      </c>
      <c r="F99" s="22">
        <f>SUM(F89:F98)</f>
        <v>545</v>
      </c>
      <c r="G99" s="11"/>
    </row>
    <row r="100" spans="7:9" ht="12.75">
      <c r="G100" s="11"/>
      <c r="H100" s="11"/>
      <c r="I100" s="11"/>
    </row>
    <row r="102" spans="1:6" s="11" customFormat="1" ht="60.75" customHeight="1">
      <c r="A102" s="24" t="s">
        <v>443</v>
      </c>
      <c r="B102" s="248" t="s">
        <v>358</v>
      </c>
      <c r="C102" s="249"/>
      <c r="D102" s="249"/>
      <c r="E102" s="249"/>
      <c r="F102" s="250"/>
    </row>
    <row r="103" spans="1:6" s="11" customFormat="1" ht="24" customHeight="1">
      <c r="A103" s="268" t="s">
        <v>269</v>
      </c>
      <c r="B103" s="269" t="s">
        <v>260</v>
      </c>
      <c r="C103" s="269"/>
      <c r="D103" s="269"/>
      <c r="E103" s="244" t="s">
        <v>261</v>
      </c>
      <c r="F103" s="244" t="s">
        <v>263</v>
      </c>
    </row>
    <row r="104" spans="1:6" s="11" customFormat="1" ht="37.5" customHeight="1">
      <c r="A104" s="268"/>
      <c r="B104" s="18" t="s">
        <v>265</v>
      </c>
      <c r="C104" s="18" t="s">
        <v>267</v>
      </c>
      <c r="D104" s="18" t="s">
        <v>266</v>
      </c>
      <c r="E104" s="247"/>
      <c r="F104" s="247"/>
    </row>
    <row r="105" spans="1:6" s="55" customFormat="1" ht="10.5">
      <c r="A105" s="51" t="s">
        <v>129</v>
      </c>
      <c r="B105" s="52">
        <v>1</v>
      </c>
      <c r="C105" s="52">
        <v>0</v>
      </c>
      <c r="D105" s="52">
        <v>0</v>
      </c>
      <c r="E105" s="53">
        <v>1</v>
      </c>
      <c r="F105" s="52">
        <v>43</v>
      </c>
    </row>
    <row r="106" spans="1:6" s="55" customFormat="1" ht="10.5">
      <c r="A106" s="51" t="s">
        <v>254</v>
      </c>
      <c r="B106" s="52">
        <v>6</v>
      </c>
      <c r="C106" s="52">
        <v>2</v>
      </c>
      <c r="D106" s="52">
        <v>7</v>
      </c>
      <c r="E106" s="53">
        <v>15</v>
      </c>
      <c r="F106" s="52">
        <v>282</v>
      </c>
    </row>
    <row r="107" spans="1:6" s="55" customFormat="1" ht="10.5">
      <c r="A107" s="51" t="s">
        <v>120</v>
      </c>
      <c r="B107" s="52">
        <v>1</v>
      </c>
      <c r="C107" s="52">
        <v>0</v>
      </c>
      <c r="D107" s="52">
        <v>0</v>
      </c>
      <c r="E107" s="53">
        <v>1</v>
      </c>
      <c r="F107" s="52">
        <v>53</v>
      </c>
    </row>
    <row r="108" spans="1:6" s="55" customFormat="1" ht="10.5">
      <c r="A108" s="51" t="s">
        <v>136</v>
      </c>
      <c r="B108" s="52">
        <v>1</v>
      </c>
      <c r="C108" s="52">
        <v>0</v>
      </c>
      <c r="D108" s="52">
        <v>0</v>
      </c>
      <c r="E108" s="53">
        <v>1</v>
      </c>
      <c r="F108" s="52">
        <v>27</v>
      </c>
    </row>
    <row r="109" spans="1:6" s="55" customFormat="1" ht="10.5">
      <c r="A109" s="51" t="s">
        <v>335</v>
      </c>
      <c r="B109" s="52">
        <v>1</v>
      </c>
      <c r="C109" s="52">
        <v>0</v>
      </c>
      <c r="D109" s="52">
        <v>0</v>
      </c>
      <c r="E109" s="53">
        <v>1</v>
      </c>
      <c r="F109" s="52">
        <v>17</v>
      </c>
    </row>
    <row r="110" spans="1:6" s="55" customFormat="1" ht="10.5">
      <c r="A110" s="51" t="s">
        <v>114</v>
      </c>
      <c r="B110" s="52">
        <v>1</v>
      </c>
      <c r="C110" s="52">
        <v>0</v>
      </c>
      <c r="D110" s="52">
        <v>0</v>
      </c>
      <c r="E110" s="53">
        <v>1</v>
      </c>
      <c r="F110" s="52">
        <v>55</v>
      </c>
    </row>
    <row r="111" spans="1:6" s="55" customFormat="1" ht="10.5">
      <c r="A111" s="51" t="s">
        <v>336</v>
      </c>
      <c r="B111" s="52">
        <v>4</v>
      </c>
      <c r="C111" s="52">
        <v>0</v>
      </c>
      <c r="D111" s="52">
        <v>0</v>
      </c>
      <c r="E111" s="53">
        <v>4</v>
      </c>
      <c r="F111" s="52">
        <v>88</v>
      </c>
    </row>
    <row r="112" spans="1:6" s="55" customFormat="1" ht="10.5">
      <c r="A112" s="51" t="s">
        <v>111</v>
      </c>
      <c r="B112" s="52">
        <v>0</v>
      </c>
      <c r="C112" s="52">
        <v>0</v>
      </c>
      <c r="D112" s="52">
        <v>1</v>
      </c>
      <c r="E112" s="53">
        <v>1</v>
      </c>
      <c r="F112" s="52">
        <v>25</v>
      </c>
    </row>
    <row r="113" spans="1:6" s="55" customFormat="1" ht="10.5">
      <c r="A113" s="51" t="s">
        <v>109</v>
      </c>
      <c r="B113" s="52">
        <v>2</v>
      </c>
      <c r="C113" s="52">
        <v>0</v>
      </c>
      <c r="D113" s="52">
        <v>0</v>
      </c>
      <c r="E113" s="53">
        <v>2</v>
      </c>
      <c r="F113" s="52">
        <v>31</v>
      </c>
    </row>
    <row r="114" spans="1:6" s="55" customFormat="1" ht="10.5">
      <c r="A114" s="51" t="s">
        <v>99</v>
      </c>
      <c r="B114" s="52">
        <v>0</v>
      </c>
      <c r="C114" s="52">
        <v>1</v>
      </c>
      <c r="D114" s="52">
        <v>2</v>
      </c>
      <c r="E114" s="53">
        <v>3</v>
      </c>
      <c r="F114" s="52">
        <v>68</v>
      </c>
    </row>
    <row r="115" spans="1:6" s="55" customFormat="1" ht="10.5">
      <c r="A115" s="51" t="s">
        <v>98</v>
      </c>
      <c r="B115" s="52">
        <v>2</v>
      </c>
      <c r="C115" s="52">
        <v>0</v>
      </c>
      <c r="D115" s="52">
        <v>1</v>
      </c>
      <c r="E115" s="53">
        <v>3</v>
      </c>
      <c r="F115" s="52">
        <v>59</v>
      </c>
    </row>
    <row r="116" spans="1:6" s="55" customFormat="1" ht="10.5">
      <c r="A116" s="51" t="s">
        <v>96</v>
      </c>
      <c r="B116" s="52">
        <v>0</v>
      </c>
      <c r="C116" s="52">
        <v>0</v>
      </c>
      <c r="D116" s="52">
        <v>1</v>
      </c>
      <c r="E116" s="53">
        <v>1</v>
      </c>
      <c r="F116" s="52">
        <v>10</v>
      </c>
    </row>
    <row r="117" spans="1:7" s="23" customFormat="1" ht="17.25" customHeight="1">
      <c r="A117" s="21" t="s">
        <v>225</v>
      </c>
      <c r="B117" s="22">
        <f>SUM(B105:B116)</f>
        <v>19</v>
      </c>
      <c r="C117" s="22">
        <f>SUM(C105:C116)</f>
        <v>3</v>
      </c>
      <c r="D117" s="22">
        <f>SUM(D105:D116)</f>
        <v>12</v>
      </c>
      <c r="E117" s="22">
        <f>SUM(E105:E116)</f>
        <v>34</v>
      </c>
      <c r="F117" s="22">
        <f>SUM(F105:F116)</f>
        <v>758</v>
      </c>
      <c r="G117" s="11"/>
    </row>
    <row r="119" s="14" customFormat="1" ht="12.75">
      <c r="A119" s="102" t="s">
        <v>430</v>
      </c>
    </row>
    <row r="121" spans="1:6" s="11" customFormat="1" ht="60.75" customHeight="1">
      <c r="A121" s="24" t="s">
        <v>443</v>
      </c>
      <c r="B121" s="248" t="s">
        <v>403</v>
      </c>
      <c r="C121" s="249"/>
      <c r="D121" s="249"/>
      <c r="E121" s="249"/>
      <c r="F121" s="250"/>
    </row>
    <row r="122" spans="1:6" s="11" customFormat="1" ht="24" customHeight="1">
      <c r="A122" s="268" t="s">
        <v>269</v>
      </c>
      <c r="B122" s="269" t="s">
        <v>260</v>
      </c>
      <c r="C122" s="269"/>
      <c r="D122" s="269"/>
      <c r="E122" s="244" t="s">
        <v>261</v>
      </c>
      <c r="F122" s="244" t="s">
        <v>263</v>
      </c>
    </row>
    <row r="123" spans="1:6" s="11" customFormat="1" ht="37.5" customHeight="1">
      <c r="A123" s="268"/>
      <c r="B123" s="18" t="s">
        <v>265</v>
      </c>
      <c r="C123" s="18" t="s">
        <v>267</v>
      </c>
      <c r="D123" s="18" t="s">
        <v>266</v>
      </c>
      <c r="E123" s="247"/>
      <c r="F123" s="247"/>
    </row>
    <row r="124" spans="1:6" s="55" customFormat="1" ht="10.5">
      <c r="A124" s="51" t="s">
        <v>255</v>
      </c>
      <c r="B124" s="52">
        <v>3</v>
      </c>
      <c r="C124" s="52">
        <v>0</v>
      </c>
      <c r="D124" s="52">
        <v>0</v>
      </c>
      <c r="E124" s="53">
        <v>3</v>
      </c>
      <c r="F124" s="52">
        <v>97</v>
      </c>
    </row>
    <row r="125" spans="1:6" s="55" customFormat="1" ht="10.5">
      <c r="A125" s="51" t="s">
        <v>168</v>
      </c>
      <c r="B125" s="52">
        <v>0</v>
      </c>
      <c r="C125" s="52">
        <v>0</v>
      </c>
      <c r="D125" s="52">
        <v>1</v>
      </c>
      <c r="E125" s="53">
        <v>1</v>
      </c>
      <c r="F125" s="52">
        <v>5</v>
      </c>
    </row>
    <row r="126" spans="1:6" s="55" customFormat="1" ht="10.5">
      <c r="A126" s="51" t="s">
        <v>154</v>
      </c>
      <c r="B126" s="52">
        <v>1</v>
      </c>
      <c r="C126" s="52">
        <v>0</v>
      </c>
      <c r="D126" s="52">
        <v>0</v>
      </c>
      <c r="E126" s="53">
        <v>1</v>
      </c>
      <c r="F126" s="52">
        <v>24</v>
      </c>
    </row>
    <row r="127" spans="1:6" s="55" customFormat="1" ht="10.5">
      <c r="A127" s="51" t="s">
        <v>230</v>
      </c>
      <c r="B127" s="52">
        <v>0</v>
      </c>
      <c r="C127" s="52">
        <v>1</v>
      </c>
      <c r="D127" s="52">
        <v>0</v>
      </c>
      <c r="E127" s="53">
        <v>1</v>
      </c>
      <c r="F127" s="52">
        <v>15</v>
      </c>
    </row>
    <row r="128" spans="1:7" s="23" customFormat="1" ht="17.25" customHeight="1">
      <c r="A128" s="21" t="s">
        <v>226</v>
      </c>
      <c r="B128" s="22">
        <f>SUM(B124:B127)</f>
        <v>4</v>
      </c>
      <c r="C128" s="22">
        <f>SUM(C124:C127)</f>
        <v>1</v>
      </c>
      <c r="D128" s="22">
        <f>SUM(D124:D127)</f>
        <v>1</v>
      </c>
      <c r="E128" s="22">
        <f>SUM(E124:E127)</f>
        <v>6</v>
      </c>
      <c r="F128" s="22">
        <f>SUM(F124:F127)</f>
        <v>141</v>
      </c>
      <c r="G128" s="11"/>
    </row>
    <row r="132" spans="1:8" s="11" customFormat="1" ht="60.75" customHeight="1">
      <c r="A132" s="24" t="s">
        <v>443</v>
      </c>
      <c r="B132" s="248" t="s">
        <v>357</v>
      </c>
      <c r="C132" s="249"/>
      <c r="D132" s="249"/>
      <c r="E132" s="249"/>
      <c r="F132" s="250"/>
      <c r="H132" s="50"/>
    </row>
    <row r="133" spans="1:8" s="11" customFormat="1" ht="24" customHeight="1">
      <c r="A133" s="268" t="s">
        <v>269</v>
      </c>
      <c r="B133" s="269" t="s">
        <v>260</v>
      </c>
      <c r="C133" s="269"/>
      <c r="D133" s="269"/>
      <c r="E133" s="244" t="s">
        <v>261</v>
      </c>
      <c r="F133" s="244" t="s">
        <v>263</v>
      </c>
      <c r="H133" s="50"/>
    </row>
    <row r="134" spans="1:8" s="11" customFormat="1" ht="37.5" customHeight="1">
      <c r="A134" s="268"/>
      <c r="B134" s="18" t="s">
        <v>265</v>
      </c>
      <c r="C134" s="18" t="s">
        <v>267</v>
      </c>
      <c r="D134" s="18" t="s">
        <v>266</v>
      </c>
      <c r="E134" s="247"/>
      <c r="F134" s="247"/>
      <c r="H134" s="50"/>
    </row>
    <row r="135" spans="1:8" s="55" customFormat="1" ht="15" customHeight="1">
      <c r="A135" s="51" t="s">
        <v>143</v>
      </c>
      <c r="B135" s="52">
        <v>0</v>
      </c>
      <c r="C135" s="52">
        <v>0</v>
      </c>
      <c r="D135" s="52">
        <v>1</v>
      </c>
      <c r="E135" s="53">
        <f>SUM(B135:D135)</f>
        <v>1</v>
      </c>
      <c r="F135" s="52">
        <v>19</v>
      </c>
      <c r="H135" s="50"/>
    </row>
    <row r="136" spans="1:6" s="55" customFormat="1" ht="17.25" customHeight="1">
      <c r="A136" s="51" t="s">
        <v>142</v>
      </c>
      <c r="B136" s="52">
        <v>1</v>
      </c>
      <c r="C136" s="52">
        <v>0</v>
      </c>
      <c r="D136" s="52">
        <v>1</v>
      </c>
      <c r="E136" s="53">
        <f>SUM(B136:D136)</f>
        <v>2</v>
      </c>
      <c r="F136" s="52">
        <v>43</v>
      </c>
    </row>
    <row r="137" spans="1:6" s="55" customFormat="1" ht="15" customHeight="1">
      <c r="A137" s="51" t="s">
        <v>139</v>
      </c>
      <c r="B137" s="52">
        <v>3</v>
      </c>
      <c r="C137" s="52">
        <v>0</v>
      </c>
      <c r="D137" s="52">
        <v>2</v>
      </c>
      <c r="E137" s="53">
        <f>SUM(B137:D137)</f>
        <v>5</v>
      </c>
      <c r="F137" s="52">
        <v>181</v>
      </c>
    </row>
    <row r="138" spans="1:6" s="55" customFormat="1" ht="13.5" customHeight="1">
      <c r="A138" s="51" t="s">
        <v>256</v>
      </c>
      <c r="B138" s="52">
        <v>2</v>
      </c>
      <c r="C138" s="52">
        <v>5</v>
      </c>
      <c r="D138" s="52">
        <v>11</v>
      </c>
      <c r="E138" s="53">
        <f>SUM(B138:D138)</f>
        <v>18</v>
      </c>
      <c r="F138" s="52">
        <v>284</v>
      </c>
    </row>
    <row r="139" spans="1:6" s="55" customFormat="1" ht="13.5" customHeight="1">
      <c r="A139" s="51" t="s">
        <v>340</v>
      </c>
      <c r="B139" s="52">
        <v>0</v>
      </c>
      <c r="C139" s="52">
        <v>0</v>
      </c>
      <c r="D139" s="52">
        <v>2</v>
      </c>
      <c r="E139" s="53">
        <f>SUM(B139:D139)</f>
        <v>2</v>
      </c>
      <c r="F139" s="52">
        <v>34</v>
      </c>
    </row>
    <row r="140" spans="1:7" s="23" customFormat="1" ht="17.25" customHeight="1">
      <c r="A140" s="21" t="s">
        <v>182</v>
      </c>
      <c r="B140" s="22">
        <f>SUM(B135:B139)</f>
        <v>6</v>
      </c>
      <c r="C140" s="22">
        <f>SUM(C135:C139)</f>
        <v>5</v>
      </c>
      <c r="D140" s="22">
        <f>SUM(D135:D139)</f>
        <v>17</v>
      </c>
      <c r="E140" s="22">
        <f>SUM(E135:E139)</f>
        <v>28</v>
      </c>
      <c r="F140" s="22">
        <f>SUM(F135:F139)</f>
        <v>561</v>
      </c>
      <c r="G140" s="11"/>
    </row>
    <row r="141" spans="7:9" ht="12.75">
      <c r="G141" s="11"/>
      <c r="H141" s="11"/>
      <c r="I141" s="11"/>
    </row>
    <row r="143" spans="1:6" s="11" customFormat="1" ht="60.75" customHeight="1">
      <c r="A143" s="24" t="s">
        <v>443</v>
      </c>
      <c r="B143" s="248" t="s">
        <v>417</v>
      </c>
      <c r="C143" s="249"/>
      <c r="D143" s="249"/>
      <c r="E143" s="249"/>
      <c r="F143" s="250"/>
    </row>
    <row r="144" spans="1:6" s="11" customFormat="1" ht="24" customHeight="1">
      <c r="A144" s="268" t="s">
        <v>269</v>
      </c>
      <c r="B144" s="269" t="s">
        <v>260</v>
      </c>
      <c r="C144" s="269"/>
      <c r="D144" s="269"/>
      <c r="E144" s="244" t="s">
        <v>261</v>
      </c>
      <c r="F144" s="244" t="s">
        <v>263</v>
      </c>
    </row>
    <row r="145" spans="1:6" s="11" customFormat="1" ht="37.5" customHeight="1">
      <c r="A145" s="268"/>
      <c r="B145" s="18" t="s">
        <v>265</v>
      </c>
      <c r="C145" s="18" t="s">
        <v>267</v>
      </c>
      <c r="D145" s="18" t="s">
        <v>266</v>
      </c>
      <c r="E145" s="247"/>
      <c r="F145" s="247"/>
    </row>
    <row r="146" spans="1:6" s="55" customFormat="1" ht="15" customHeight="1">
      <c r="A146" s="51" t="s">
        <v>341</v>
      </c>
      <c r="B146" s="52">
        <v>0</v>
      </c>
      <c r="C146" s="52">
        <v>0</v>
      </c>
      <c r="D146" s="52">
        <v>1</v>
      </c>
      <c r="E146" s="53">
        <v>1</v>
      </c>
      <c r="F146" s="52">
        <v>21</v>
      </c>
    </row>
    <row r="147" spans="1:6" s="55" customFormat="1" ht="15" customHeight="1">
      <c r="A147" s="51" t="s">
        <v>174</v>
      </c>
      <c r="B147" s="52">
        <v>0</v>
      </c>
      <c r="C147" s="52">
        <v>1</v>
      </c>
      <c r="D147" s="52">
        <v>1</v>
      </c>
      <c r="E147" s="53">
        <v>2</v>
      </c>
      <c r="F147" s="52">
        <v>39</v>
      </c>
    </row>
    <row r="148" spans="1:6" s="55" customFormat="1" ht="15" customHeight="1">
      <c r="A148" s="51" t="s">
        <v>418</v>
      </c>
      <c r="B148" s="52">
        <v>0</v>
      </c>
      <c r="C148" s="52">
        <v>1</v>
      </c>
      <c r="D148" s="52">
        <v>0</v>
      </c>
      <c r="E148" s="53">
        <v>1</v>
      </c>
      <c r="F148" s="52">
        <v>16</v>
      </c>
    </row>
    <row r="149" spans="1:6" s="55" customFormat="1" ht="15" customHeight="1">
      <c r="A149" s="51" t="s">
        <v>153</v>
      </c>
      <c r="B149" s="52">
        <v>0</v>
      </c>
      <c r="C149" s="52">
        <v>0</v>
      </c>
      <c r="D149" s="52">
        <v>2</v>
      </c>
      <c r="E149" s="53">
        <v>2</v>
      </c>
      <c r="F149" s="52">
        <v>30</v>
      </c>
    </row>
    <row r="150" spans="1:6" s="55" customFormat="1" ht="15" customHeight="1">
      <c r="A150" s="51" t="s">
        <v>152</v>
      </c>
      <c r="B150" s="52">
        <v>3</v>
      </c>
      <c r="C150" s="52">
        <v>0</v>
      </c>
      <c r="D150" s="52">
        <v>2</v>
      </c>
      <c r="E150" s="53">
        <v>5</v>
      </c>
      <c r="F150" s="52">
        <v>141</v>
      </c>
    </row>
    <row r="151" spans="1:6" s="55" customFormat="1" ht="15" customHeight="1">
      <c r="A151" s="51" t="s">
        <v>151</v>
      </c>
      <c r="B151" s="52">
        <v>2</v>
      </c>
      <c r="C151" s="52">
        <v>1</v>
      </c>
      <c r="D151" s="52">
        <v>1</v>
      </c>
      <c r="E151" s="53">
        <v>4</v>
      </c>
      <c r="F151" s="52">
        <v>100</v>
      </c>
    </row>
    <row r="152" spans="1:6" s="55" customFormat="1" ht="15" customHeight="1">
      <c r="A152" s="51" t="s">
        <v>179</v>
      </c>
      <c r="B152" s="52">
        <v>0</v>
      </c>
      <c r="C152" s="52">
        <v>0</v>
      </c>
      <c r="D152" s="52">
        <v>2</v>
      </c>
      <c r="E152" s="53">
        <v>2</v>
      </c>
      <c r="F152" s="52">
        <v>24</v>
      </c>
    </row>
    <row r="153" spans="1:6" s="55" customFormat="1" ht="15" customHeight="1">
      <c r="A153" s="51" t="s">
        <v>150</v>
      </c>
      <c r="B153" s="52">
        <v>1</v>
      </c>
      <c r="C153" s="52">
        <v>1</v>
      </c>
      <c r="D153" s="52">
        <v>8</v>
      </c>
      <c r="E153" s="53">
        <v>10</v>
      </c>
      <c r="F153" s="52">
        <v>216</v>
      </c>
    </row>
    <row r="154" spans="1:6" s="55" customFormat="1" ht="15" customHeight="1">
      <c r="A154" s="51" t="s">
        <v>149</v>
      </c>
      <c r="B154" s="52">
        <v>0</v>
      </c>
      <c r="C154" s="52">
        <v>0</v>
      </c>
      <c r="D154" s="52">
        <v>1</v>
      </c>
      <c r="E154" s="53">
        <v>1</v>
      </c>
      <c r="F154" s="52">
        <v>30</v>
      </c>
    </row>
    <row r="155" spans="1:6" s="55" customFormat="1" ht="15" customHeight="1">
      <c r="A155" s="51" t="s">
        <v>181</v>
      </c>
      <c r="B155" s="52">
        <v>0</v>
      </c>
      <c r="C155" s="52">
        <v>0</v>
      </c>
      <c r="D155" s="52">
        <v>1</v>
      </c>
      <c r="E155" s="53">
        <v>1</v>
      </c>
      <c r="F155" s="52">
        <v>11</v>
      </c>
    </row>
    <row r="156" spans="1:6" s="55" customFormat="1" ht="15" customHeight="1">
      <c r="A156" s="51" t="s">
        <v>147</v>
      </c>
      <c r="B156" s="52">
        <v>0</v>
      </c>
      <c r="C156" s="52">
        <v>0</v>
      </c>
      <c r="D156" s="52">
        <v>1</v>
      </c>
      <c r="E156" s="53">
        <v>1</v>
      </c>
      <c r="F156" s="52">
        <v>20</v>
      </c>
    </row>
    <row r="157" spans="1:6" s="55" customFormat="1" ht="15" customHeight="1">
      <c r="A157" s="51" t="s">
        <v>146</v>
      </c>
      <c r="B157" s="52">
        <v>0</v>
      </c>
      <c r="C157" s="52">
        <v>0</v>
      </c>
      <c r="D157" s="52">
        <v>1</v>
      </c>
      <c r="E157" s="53">
        <v>1</v>
      </c>
      <c r="F157" s="52">
        <v>22</v>
      </c>
    </row>
    <row r="158" spans="1:6" s="55" customFormat="1" ht="15" customHeight="1">
      <c r="A158" s="51" t="s">
        <v>172</v>
      </c>
      <c r="B158" s="52">
        <v>0</v>
      </c>
      <c r="C158" s="52">
        <v>0</v>
      </c>
      <c r="D158" s="52">
        <v>1</v>
      </c>
      <c r="E158" s="53">
        <v>1</v>
      </c>
      <c r="F158" s="52">
        <v>10</v>
      </c>
    </row>
    <row r="159" spans="1:6" s="55" customFormat="1" ht="15" customHeight="1">
      <c r="A159" s="51" t="s">
        <v>177</v>
      </c>
      <c r="B159" s="52">
        <v>0</v>
      </c>
      <c r="C159" s="52">
        <v>0</v>
      </c>
      <c r="D159" s="52">
        <v>1</v>
      </c>
      <c r="E159" s="53">
        <v>1</v>
      </c>
      <c r="F159" s="52">
        <v>7</v>
      </c>
    </row>
    <row r="160" spans="1:6" s="55" customFormat="1" ht="15" customHeight="1">
      <c r="A160" s="51" t="s">
        <v>176</v>
      </c>
      <c r="B160" s="52">
        <v>0</v>
      </c>
      <c r="C160" s="52">
        <v>0</v>
      </c>
      <c r="D160" s="52">
        <v>1</v>
      </c>
      <c r="E160" s="53">
        <v>1</v>
      </c>
      <c r="F160" s="52">
        <v>13</v>
      </c>
    </row>
    <row r="161" spans="1:6" s="55" customFormat="1" ht="15" customHeight="1">
      <c r="A161" s="51" t="s">
        <v>175</v>
      </c>
      <c r="B161" s="52">
        <v>0</v>
      </c>
      <c r="C161" s="52">
        <v>0</v>
      </c>
      <c r="D161" s="52">
        <v>1</v>
      </c>
      <c r="E161" s="53">
        <v>1</v>
      </c>
      <c r="F161" s="52">
        <v>11</v>
      </c>
    </row>
    <row r="162" spans="1:7" s="23" customFormat="1" ht="17.25" customHeight="1">
      <c r="A162" s="21" t="s">
        <v>183</v>
      </c>
      <c r="B162" s="22">
        <f>SUM(B146:B161)</f>
        <v>6</v>
      </c>
      <c r="C162" s="22">
        <f>SUM(C146:C161)</f>
        <v>4</v>
      </c>
      <c r="D162" s="22">
        <f>SUM(D146:D161)</f>
        <v>25</v>
      </c>
      <c r="E162" s="22">
        <f>SUM(E146:E161)</f>
        <v>35</v>
      </c>
      <c r="F162" s="22">
        <f>SUM(F146:F161)</f>
        <v>711</v>
      </c>
      <c r="G162" s="11"/>
    </row>
    <row r="163" spans="7:9" ht="12.75">
      <c r="G163" s="11"/>
      <c r="H163" s="11"/>
      <c r="I163" s="11"/>
    </row>
    <row r="164" spans="7:9" ht="12.75">
      <c r="G164" s="11"/>
      <c r="H164" s="11"/>
      <c r="I164" s="11"/>
    </row>
    <row r="165" spans="1:6" s="11" customFormat="1" ht="60.75" customHeight="1">
      <c r="A165" s="24" t="s">
        <v>443</v>
      </c>
      <c r="B165" s="248" t="s">
        <v>429</v>
      </c>
      <c r="C165" s="249"/>
      <c r="D165" s="249"/>
      <c r="E165" s="249"/>
      <c r="F165" s="250"/>
    </row>
    <row r="166" spans="1:6" s="11" customFormat="1" ht="24" customHeight="1">
      <c r="A166" s="268" t="s">
        <v>269</v>
      </c>
      <c r="B166" s="269" t="s">
        <v>260</v>
      </c>
      <c r="C166" s="269"/>
      <c r="D166" s="269"/>
      <c r="E166" s="244" t="s">
        <v>261</v>
      </c>
      <c r="F166" s="244" t="s">
        <v>263</v>
      </c>
    </row>
    <row r="167" spans="1:6" s="11" customFormat="1" ht="37.5" customHeight="1">
      <c r="A167" s="268"/>
      <c r="B167" s="18" t="s">
        <v>265</v>
      </c>
      <c r="C167" s="18" t="s">
        <v>267</v>
      </c>
      <c r="D167" s="18" t="s">
        <v>266</v>
      </c>
      <c r="E167" s="247"/>
      <c r="F167" s="247"/>
    </row>
    <row r="168" spans="1:6" s="55" customFormat="1" ht="19.5" customHeight="1">
      <c r="A168" s="51" t="s">
        <v>258</v>
      </c>
      <c r="B168" s="52">
        <v>3</v>
      </c>
      <c r="C168" s="52">
        <v>0</v>
      </c>
      <c r="D168" s="52">
        <v>0</v>
      </c>
      <c r="E168" s="53">
        <v>3</v>
      </c>
      <c r="F168" s="52">
        <v>63</v>
      </c>
    </row>
    <row r="169" spans="1:7" s="23" customFormat="1" ht="17.25" customHeight="1">
      <c r="A169" s="21" t="s">
        <v>184</v>
      </c>
      <c r="B169" s="22">
        <f>SUM(B168)</f>
        <v>3</v>
      </c>
      <c r="C169" s="22">
        <f>SUM(C168)</f>
        <v>0</v>
      </c>
      <c r="D169" s="22">
        <f>SUM(D168)</f>
        <v>0</v>
      </c>
      <c r="E169" s="22">
        <f>SUM(E168)</f>
        <v>3</v>
      </c>
      <c r="F169" s="22">
        <f>SUM(F168)</f>
        <v>63</v>
      </c>
      <c r="G169" s="11"/>
    </row>
    <row r="170" spans="7:9" ht="12.75">
      <c r="G170" s="11"/>
      <c r="H170" s="11"/>
      <c r="I170" s="11"/>
    </row>
    <row r="171" spans="1:9" ht="12.75">
      <c r="A171" s="55"/>
      <c r="G171" s="11"/>
      <c r="H171" s="11"/>
      <c r="I171" s="11"/>
    </row>
  </sheetData>
  <mergeCells count="53">
    <mergeCell ref="A3:A4"/>
    <mergeCell ref="E3:E4"/>
    <mergeCell ref="F3:F4"/>
    <mergeCell ref="G3:G4"/>
    <mergeCell ref="F53:F54"/>
    <mergeCell ref="B86:F86"/>
    <mergeCell ref="A41:A42"/>
    <mergeCell ref="B41:D41"/>
    <mergeCell ref="E41:E42"/>
    <mergeCell ref="F41:F42"/>
    <mergeCell ref="A87:A88"/>
    <mergeCell ref="B87:D87"/>
    <mergeCell ref="F87:F88"/>
    <mergeCell ref="A62:A63"/>
    <mergeCell ref="B62:D62"/>
    <mergeCell ref="F62:F63"/>
    <mergeCell ref="E62:E63"/>
    <mergeCell ref="E87:E88"/>
    <mergeCell ref="A103:A104"/>
    <mergeCell ref="B103:D103"/>
    <mergeCell ref="F103:F104"/>
    <mergeCell ref="B102:F102"/>
    <mergeCell ref="E103:E104"/>
    <mergeCell ref="A122:A123"/>
    <mergeCell ref="B122:D122"/>
    <mergeCell ref="F122:F123"/>
    <mergeCell ref="B121:F121"/>
    <mergeCell ref="E122:E123"/>
    <mergeCell ref="A133:A134"/>
    <mergeCell ref="B133:D133"/>
    <mergeCell ref="F133:F134"/>
    <mergeCell ref="B132:F132"/>
    <mergeCell ref="E133:E134"/>
    <mergeCell ref="A144:A145"/>
    <mergeCell ref="B144:D144"/>
    <mergeCell ref="F144:F145"/>
    <mergeCell ref="B143:F143"/>
    <mergeCell ref="E144:E145"/>
    <mergeCell ref="A166:A167"/>
    <mergeCell ref="B166:D166"/>
    <mergeCell ref="F166:F167"/>
    <mergeCell ref="B165:F165"/>
    <mergeCell ref="E166:E167"/>
    <mergeCell ref="B1:H1"/>
    <mergeCell ref="B52:F52"/>
    <mergeCell ref="E53:E54"/>
    <mergeCell ref="B61:F61"/>
    <mergeCell ref="B40:F40"/>
    <mergeCell ref="B3:D3"/>
    <mergeCell ref="H3:H4"/>
    <mergeCell ref="A38:H38"/>
    <mergeCell ref="A53:A54"/>
    <mergeCell ref="B53:D53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2"/>
  <rowBreaks count="5" manualBreakCount="5">
    <brk id="39" max="255" man="1"/>
    <brk id="60" max="255" man="1"/>
    <brk id="101" max="255" man="1"/>
    <brk id="120" max="255" man="1"/>
    <brk id="1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8"/>
  <sheetViews>
    <sheetView zoomScale="75" zoomScaleNormal="75" workbookViewId="0" topLeftCell="A1">
      <selection activeCell="K34" sqref="K34"/>
    </sheetView>
  </sheetViews>
  <sheetFormatPr defaultColWidth="9.140625" defaultRowHeight="12.75"/>
  <cols>
    <col min="1" max="1" width="26.00390625" style="50" customWidth="1"/>
    <col min="2" max="3" width="9.140625" style="50" customWidth="1"/>
    <col min="4" max="4" width="11.7109375" style="50" customWidth="1"/>
    <col min="5" max="5" width="9.140625" style="50" customWidth="1"/>
    <col min="6" max="6" width="10.421875" style="50" bestFit="1" customWidth="1"/>
    <col min="7" max="7" width="9.28125" style="50" bestFit="1" customWidth="1"/>
    <col min="8" max="8" width="11.8515625" style="50" bestFit="1" customWidth="1"/>
    <col min="9" max="16384" width="9.140625" style="50" customWidth="1"/>
  </cols>
  <sheetData>
    <row r="1" spans="1:12" s="2" customFormat="1" ht="60.75" customHeight="1">
      <c r="A1" s="1" t="s">
        <v>444</v>
      </c>
      <c r="B1" s="237" t="s">
        <v>353</v>
      </c>
      <c r="C1" s="238"/>
      <c r="D1" s="238"/>
      <c r="E1" s="238"/>
      <c r="F1" s="238"/>
      <c r="G1" s="238"/>
      <c r="H1" s="252"/>
      <c r="I1" s="20"/>
      <c r="J1" s="20"/>
      <c r="K1" s="20"/>
      <c r="L1" s="20"/>
    </row>
    <row r="3" spans="1:8" s="2" customFormat="1" ht="24" customHeight="1">
      <c r="A3" s="255" t="s">
        <v>185</v>
      </c>
      <c r="B3" s="259" t="s">
        <v>260</v>
      </c>
      <c r="C3" s="260"/>
      <c r="D3" s="261"/>
      <c r="E3" s="257" t="s">
        <v>261</v>
      </c>
      <c r="F3" s="257" t="s">
        <v>262</v>
      </c>
      <c r="G3" s="257" t="s">
        <v>263</v>
      </c>
      <c r="H3" s="257" t="s">
        <v>264</v>
      </c>
    </row>
    <row r="4" spans="1:8" s="2" customFormat="1" ht="33.75">
      <c r="A4" s="256"/>
      <c r="B4" s="5" t="s">
        <v>265</v>
      </c>
      <c r="C4" s="6" t="s">
        <v>267</v>
      </c>
      <c r="D4" s="5" t="s">
        <v>266</v>
      </c>
      <c r="E4" s="258"/>
      <c r="F4" s="258"/>
      <c r="G4" s="258"/>
      <c r="H4" s="258"/>
    </row>
    <row r="5" spans="1:8" s="42" customFormat="1" ht="12.75">
      <c r="A5" s="3" t="s">
        <v>250</v>
      </c>
      <c r="B5" s="39">
        <f>B56</f>
        <v>0</v>
      </c>
      <c r="C5" s="40">
        <f>C56</f>
        <v>1</v>
      </c>
      <c r="D5" s="40">
        <f>D56</f>
        <v>3</v>
      </c>
      <c r="E5" s="41">
        <f>E56</f>
        <v>4</v>
      </c>
      <c r="F5" s="58">
        <f>E5/$E$14*100</f>
        <v>5.194805194805195</v>
      </c>
      <c r="G5" s="40">
        <f>F56</f>
        <v>69</v>
      </c>
      <c r="H5" s="58">
        <f>G5/$G$14*100</f>
        <v>4.75206611570248</v>
      </c>
    </row>
    <row r="6" spans="1:8" s="42" customFormat="1" ht="12.75">
      <c r="A6" s="3" t="s">
        <v>251</v>
      </c>
      <c r="B6" s="39">
        <f>B67</f>
        <v>4</v>
      </c>
      <c r="C6" s="40">
        <f>C67</f>
        <v>2</v>
      </c>
      <c r="D6" s="40">
        <f>D67</f>
        <v>1</v>
      </c>
      <c r="E6" s="41">
        <f>E67</f>
        <v>7</v>
      </c>
      <c r="F6" s="58">
        <f aca="true" t="shared" si="0" ref="F6:F14">E6/$E$14*100</f>
        <v>9.090909090909092</v>
      </c>
      <c r="G6" s="40">
        <f>F67</f>
        <v>128</v>
      </c>
      <c r="H6" s="58">
        <f aca="true" t="shared" si="1" ref="H6:H14">G6/$G$14*100</f>
        <v>8.81542699724518</v>
      </c>
    </row>
    <row r="7" spans="1:8" s="42" customFormat="1" ht="12.75">
      <c r="A7" s="3" t="s">
        <v>252</v>
      </c>
      <c r="B7" s="39">
        <f>B76</f>
        <v>1</v>
      </c>
      <c r="C7" s="40">
        <f>C76</f>
        <v>0</v>
      </c>
      <c r="D7" s="40">
        <f>D76</f>
        <v>5</v>
      </c>
      <c r="E7" s="41">
        <f>E76</f>
        <v>6</v>
      </c>
      <c r="F7" s="58">
        <f t="shared" si="0"/>
        <v>7.792207792207792</v>
      </c>
      <c r="G7" s="40">
        <f>F76</f>
        <v>149</v>
      </c>
      <c r="H7" s="58">
        <f t="shared" si="1"/>
        <v>10.261707988980715</v>
      </c>
    </row>
    <row r="8" spans="1:8" s="42" customFormat="1" ht="12.75">
      <c r="A8" s="3" t="s">
        <v>253</v>
      </c>
      <c r="B8" s="39">
        <f>B90</f>
        <v>5</v>
      </c>
      <c r="C8" s="40">
        <f>C90</f>
        <v>0</v>
      </c>
      <c r="D8" s="40">
        <f>D90</f>
        <v>8</v>
      </c>
      <c r="E8" s="41">
        <f>E90</f>
        <v>13</v>
      </c>
      <c r="F8" s="58">
        <f t="shared" si="0"/>
        <v>16.883116883116884</v>
      </c>
      <c r="G8" s="40">
        <f>F90</f>
        <v>276</v>
      </c>
      <c r="H8" s="58">
        <f t="shared" si="1"/>
        <v>19.00826446280992</v>
      </c>
    </row>
    <row r="9" spans="1:8" s="42" customFormat="1" ht="12.75">
      <c r="A9" s="3" t="s">
        <v>254</v>
      </c>
      <c r="B9" s="39">
        <f>B105</f>
        <v>3</v>
      </c>
      <c r="C9" s="40">
        <f>C105</f>
        <v>2</v>
      </c>
      <c r="D9" s="40">
        <f>D105</f>
        <v>7</v>
      </c>
      <c r="E9" s="41">
        <f>E105</f>
        <v>12</v>
      </c>
      <c r="F9" s="58">
        <f t="shared" si="0"/>
        <v>15.584415584415584</v>
      </c>
      <c r="G9" s="40">
        <f>F105</f>
        <v>210</v>
      </c>
      <c r="H9" s="58">
        <f t="shared" si="1"/>
        <v>14.46280991735537</v>
      </c>
    </row>
    <row r="10" spans="1:8" s="42" customFormat="1" ht="12.75">
      <c r="A10" s="3" t="s">
        <v>255</v>
      </c>
      <c r="B10" s="39">
        <f>B118</f>
        <v>1</v>
      </c>
      <c r="C10" s="40">
        <f>C118</f>
        <v>2</v>
      </c>
      <c r="D10" s="40">
        <f>D118</f>
        <v>18</v>
      </c>
      <c r="E10" s="41">
        <f>E118</f>
        <v>21</v>
      </c>
      <c r="F10" s="58">
        <f t="shared" si="0"/>
        <v>27.27272727272727</v>
      </c>
      <c r="G10" s="40">
        <f>F118</f>
        <v>366</v>
      </c>
      <c r="H10" s="58">
        <f t="shared" si="1"/>
        <v>25.206611570247933</v>
      </c>
    </row>
    <row r="11" spans="1:8" s="42" customFormat="1" ht="12.75">
      <c r="A11" s="3" t="s">
        <v>256</v>
      </c>
      <c r="B11" s="39">
        <f>B131</f>
        <v>0</v>
      </c>
      <c r="C11" s="40">
        <f>C131</f>
        <v>1</v>
      </c>
      <c r="D11" s="40">
        <f>D131</f>
        <v>9</v>
      </c>
      <c r="E11" s="41">
        <f>E131</f>
        <v>10</v>
      </c>
      <c r="F11" s="58">
        <f t="shared" si="0"/>
        <v>12.987012987012985</v>
      </c>
      <c r="G11" s="40">
        <f>F131</f>
        <v>194</v>
      </c>
      <c r="H11" s="58">
        <f t="shared" si="1"/>
        <v>13.360881542699724</v>
      </c>
    </row>
    <row r="12" spans="1:8" s="42" customFormat="1" ht="12.75">
      <c r="A12" s="3" t="s">
        <v>257</v>
      </c>
      <c r="B12" s="39">
        <f>B140</f>
        <v>1</v>
      </c>
      <c r="C12" s="40">
        <f>C140</f>
        <v>2</v>
      </c>
      <c r="D12" s="40">
        <f>D140</f>
        <v>0</v>
      </c>
      <c r="E12" s="41">
        <f>E140</f>
        <v>3</v>
      </c>
      <c r="F12" s="58">
        <f t="shared" si="0"/>
        <v>3.896103896103896</v>
      </c>
      <c r="G12" s="40">
        <f>F140</f>
        <v>54</v>
      </c>
      <c r="H12" s="58">
        <f t="shared" si="1"/>
        <v>3.71900826446281</v>
      </c>
    </row>
    <row r="13" spans="1:8" s="42" customFormat="1" ht="12.75">
      <c r="A13" s="3" t="s">
        <v>258</v>
      </c>
      <c r="B13" s="39">
        <f>B147</f>
        <v>0</v>
      </c>
      <c r="C13" s="40">
        <f>C147</f>
        <v>1</v>
      </c>
      <c r="D13" s="40">
        <f>D147</f>
        <v>0</v>
      </c>
      <c r="E13" s="41">
        <f>E147</f>
        <v>1</v>
      </c>
      <c r="F13" s="58">
        <f t="shared" si="0"/>
        <v>1.2987012987012987</v>
      </c>
      <c r="G13" s="40">
        <f>F147</f>
        <v>6</v>
      </c>
      <c r="H13" s="58">
        <f t="shared" si="1"/>
        <v>0.4132231404958678</v>
      </c>
    </row>
    <row r="14" spans="1:8" s="16" customFormat="1" ht="19.5" customHeight="1">
      <c r="A14" s="4" t="s">
        <v>259</v>
      </c>
      <c r="B14" s="17">
        <f>SUM(B5:B13)</f>
        <v>15</v>
      </c>
      <c r="C14" s="17">
        <f>SUM(C5:C13)</f>
        <v>11</v>
      </c>
      <c r="D14" s="17">
        <f>SUM(D5:D13)</f>
        <v>51</v>
      </c>
      <c r="E14" s="17">
        <f>SUM(E5:E13)</f>
        <v>77</v>
      </c>
      <c r="F14" s="15">
        <f t="shared" si="0"/>
        <v>100</v>
      </c>
      <c r="G14" s="17">
        <f>SUM(G5:G13)</f>
        <v>1452</v>
      </c>
      <c r="H14" s="15">
        <f t="shared" si="1"/>
        <v>100</v>
      </c>
    </row>
    <row r="16" spans="1:5" s="2" customFormat="1" ht="11.25">
      <c r="A16" s="25" t="s">
        <v>268</v>
      </c>
      <c r="D16" s="8"/>
      <c r="E16" s="9"/>
    </row>
    <row r="17" spans="1:5" s="2" customFormat="1" ht="11.25">
      <c r="A17" s="25"/>
      <c r="D17" s="8"/>
      <c r="E17" s="9"/>
    </row>
    <row r="18" spans="1:5" s="2" customFormat="1" ht="11.25">
      <c r="A18" s="25"/>
      <c r="D18" s="8"/>
      <c r="E18" s="9"/>
    </row>
    <row r="19" spans="1:5" s="2" customFormat="1" ht="11.25">
      <c r="A19" s="25"/>
      <c r="D19" s="8"/>
      <c r="E19" s="9"/>
    </row>
    <row r="20" spans="1:5" s="2" customFormat="1" ht="11.25">
      <c r="A20" s="25"/>
      <c r="D20" s="8"/>
      <c r="E20" s="9"/>
    </row>
    <row r="21" s="2" customFormat="1" ht="11.25">
      <c r="A21" s="7"/>
    </row>
    <row r="22" s="2" customFormat="1" ht="11.25">
      <c r="A22" s="7"/>
    </row>
    <row r="23" s="2" customFormat="1" ht="11.25">
      <c r="A23" s="7"/>
    </row>
    <row r="24" s="2" customFormat="1" ht="11.25">
      <c r="A24" s="7"/>
    </row>
    <row r="25" s="2" customFormat="1" ht="11.25">
      <c r="A25" s="7"/>
    </row>
    <row r="26" s="2" customFormat="1" ht="11.25">
      <c r="A26" s="7"/>
    </row>
    <row r="27" spans="1:3" s="2" customFormat="1" ht="11.25">
      <c r="A27" s="7"/>
      <c r="B27" s="3" t="s">
        <v>250</v>
      </c>
      <c r="C27" s="89">
        <f>E5</f>
        <v>4</v>
      </c>
    </row>
    <row r="28" spans="1:3" s="2" customFormat="1" ht="11.25">
      <c r="A28" s="7"/>
      <c r="B28" s="3" t="s">
        <v>251</v>
      </c>
      <c r="C28" s="89">
        <f aca="true" t="shared" si="2" ref="C28:C35">E6</f>
        <v>7</v>
      </c>
    </row>
    <row r="29" spans="1:3" s="2" customFormat="1" ht="11.25">
      <c r="A29" s="7"/>
      <c r="B29" s="3" t="s">
        <v>252</v>
      </c>
      <c r="C29" s="89">
        <f t="shared" si="2"/>
        <v>6</v>
      </c>
    </row>
    <row r="30" spans="1:3" s="2" customFormat="1" ht="11.25">
      <c r="A30" s="7"/>
      <c r="B30" s="3" t="s">
        <v>253</v>
      </c>
      <c r="C30" s="89">
        <f t="shared" si="2"/>
        <v>13</v>
      </c>
    </row>
    <row r="31" spans="1:3" s="2" customFormat="1" ht="11.25">
      <c r="A31" s="7"/>
      <c r="B31" s="3" t="s">
        <v>254</v>
      </c>
      <c r="C31" s="89">
        <f t="shared" si="2"/>
        <v>12</v>
      </c>
    </row>
    <row r="32" spans="1:3" s="2" customFormat="1" ht="11.25">
      <c r="A32" s="7"/>
      <c r="B32" s="3" t="s">
        <v>255</v>
      </c>
      <c r="C32" s="89">
        <f t="shared" si="2"/>
        <v>21</v>
      </c>
    </row>
    <row r="33" spans="1:3" s="2" customFormat="1" ht="11.25">
      <c r="A33" s="7"/>
      <c r="B33" s="3" t="s">
        <v>256</v>
      </c>
      <c r="C33" s="89">
        <f t="shared" si="2"/>
        <v>10</v>
      </c>
    </row>
    <row r="34" spans="1:3" s="2" customFormat="1" ht="11.25">
      <c r="A34" s="7"/>
      <c r="B34" s="3" t="s">
        <v>257</v>
      </c>
      <c r="C34" s="89">
        <f t="shared" si="2"/>
        <v>3</v>
      </c>
    </row>
    <row r="35" spans="1:3" s="2" customFormat="1" ht="11.25">
      <c r="A35" s="7"/>
      <c r="B35" s="3" t="s">
        <v>258</v>
      </c>
      <c r="C35" s="89">
        <f t="shared" si="2"/>
        <v>1</v>
      </c>
    </row>
    <row r="36" s="2" customFormat="1" ht="11.25">
      <c r="A36" s="7"/>
    </row>
    <row r="37" s="2" customFormat="1" ht="11.25">
      <c r="A37" s="7"/>
    </row>
    <row r="38" s="2" customFormat="1" ht="11.25">
      <c r="A38" s="7"/>
    </row>
    <row r="39" s="2" customFormat="1" ht="11.25">
      <c r="A39" s="7"/>
    </row>
    <row r="40" s="2" customFormat="1" ht="11.25">
      <c r="A40" s="7"/>
    </row>
    <row r="41" s="2" customFormat="1" ht="11.25">
      <c r="A41" s="7"/>
    </row>
    <row r="42" s="2" customFormat="1" ht="11.25">
      <c r="A42" s="7"/>
    </row>
    <row r="43" s="2" customFormat="1" ht="11.25">
      <c r="A43" s="7"/>
    </row>
    <row r="44" s="2" customFormat="1" ht="11.25">
      <c r="A44" s="7"/>
    </row>
    <row r="45" s="2" customFormat="1" ht="11.25">
      <c r="A45" s="7"/>
    </row>
    <row r="46" s="2" customFormat="1" ht="11.25">
      <c r="A46" s="7"/>
    </row>
    <row r="47" s="2" customFormat="1" ht="11.25">
      <c r="A47" s="7"/>
    </row>
    <row r="48" spans="1:8" s="2" customFormat="1" ht="33.75" customHeight="1">
      <c r="A48" s="245" t="s">
        <v>272</v>
      </c>
      <c r="B48" s="245"/>
      <c r="C48" s="245"/>
      <c r="D48" s="245"/>
      <c r="E48" s="245"/>
      <c r="F48" s="245"/>
      <c r="G48" s="245"/>
      <c r="H48" s="245"/>
    </row>
    <row r="49" s="2" customFormat="1" ht="11.25">
      <c r="A49" s="7"/>
    </row>
    <row r="50" spans="1:10" s="11" customFormat="1" ht="60.75" customHeight="1">
      <c r="A50" s="24" t="s">
        <v>444</v>
      </c>
      <c r="B50" s="248" t="s">
        <v>366</v>
      </c>
      <c r="C50" s="249"/>
      <c r="D50" s="249"/>
      <c r="E50" s="249"/>
      <c r="F50" s="250"/>
      <c r="G50" s="44"/>
      <c r="H50" s="44"/>
      <c r="I50" s="44"/>
      <c r="J50" s="25"/>
    </row>
    <row r="51" spans="1:6" s="11" customFormat="1" ht="24" customHeight="1">
      <c r="A51" s="268" t="s">
        <v>269</v>
      </c>
      <c r="B51" s="269" t="s">
        <v>260</v>
      </c>
      <c r="C51" s="269"/>
      <c r="D51" s="269"/>
      <c r="E51" s="274" t="s">
        <v>261</v>
      </c>
      <c r="F51" s="247" t="s">
        <v>263</v>
      </c>
    </row>
    <row r="52" spans="1:6" s="11" customFormat="1" ht="31.5">
      <c r="A52" s="268"/>
      <c r="B52" s="18" t="s">
        <v>265</v>
      </c>
      <c r="C52" s="18" t="s">
        <v>267</v>
      </c>
      <c r="D52" s="18" t="s">
        <v>266</v>
      </c>
      <c r="E52" s="275"/>
      <c r="F52" s="247"/>
    </row>
    <row r="53" spans="1:6" ht="12.75">
      <c r="A53" s="51" t="s">
        <v>365</v>
      </c>
      <c r="B53" s="52">
        <v>0</v>
      </c>
      <c r="C53" s="52">
        <v>1</v>
      </c>
      <c r="D53" s="52">
        <v>0</v>
      </c>
      <c r="E53" s="59">
        <f>SUM(B53:D53)</f>
        <v>1</v>
      </c>
      <c r="F53" s="60">
        <v>15</v>
      </c>
    </row>
    <row r="54" spans="1:6" ht="12.75">
      <c r="A54" s="51" t="s">
        <v>190</v>
      </c>
      <c r="B54" s="52">
        <v>0</v>
      </c>
      <c r="C54" s="52">
        <v>0</v>
      </c>
      <c r="D54" s="52">
        <v>1</v>
      </c>
      <c r="E54" s="59">
        <f>SUM(B54:D54)</f>
        <v>1</v>
      </c>
      <c r="F54" s="60">
        <v>19</v>
      </c>
    </row>
    <row r="55" spans="1:6" ht="12.75">
      <c r="A55" s="51" t="s">
        <v>250</v>
      </c>
      <c r="B55" s="52">
        <v>0</v>
      </c>
      <c r="C55" s="52">
        <v>0</v>
      </c>
      <c r="D55" s="52">
        <v>2</v>
      </c>
      <c r="E55" s="59">
        <f>SUM(B55:D55)</f>
        <v>2</v>
      </c>
      <c r="F55" s="60">
        <v>35</v>
      </c>
    </row>
    <row r="56" spans="1:7" s="23" customFormat="1" ht="17.25" customHeight="1">
      <c r="A56" s="21" t="s">
        <v>270</v>
      </c>
      <c r="B56" s="22">
        <f>SUM(B53:B55)</f>
        <v>0</v>
      </c>
      <c r="C56" s="22">
        <f>SUM(C53:C55)</f>
        <v>1</v>
      </c>
      <c r="D56" s="22">
        <f>SUM(D53:D55)</f>
        <v>3</v>
      </c>
      <c r="E56" s="22">
        <f>SUM(E53:E55)</f>
        <v>4</v>
      </c>
      <c r="F56" s="22">
        <f>SUM(F53:F55)</f>
        <v>69</v>
      </c>
      <c r="G56" s="11"/>
    </row>
    <row r="59" spans="1:10" s="11" customFormat="1" ht="60.75" customHeight="1">
      <c r="A59" s="24" t="s">
        <v>444</v>
      </c>
      <c r="B59" s="248" t="s">
        <v>367</v>
      </c>
      <c r="C59" s="249"/>
      <c r="D59" s="249"/>
      <c r="E59" s="249"/>
      <c r="F59" s="250"/>
      <c r="G59" s="44"/>
      <c r="H59" s="44"/>
      <c r="I59" s="44"/>
      <c r="J59" s="25"/>
    </row>
    <row r="60" spans="1:6" s="11" customFormat="1" ht="24" customHeight="1">
      <c r="A60" s="268" t="s">
        <v>269</v>
      </c>
      <c r="B60" s="269" t="s">
        <v>260</v>
      </c>
      <c r="C60" s="269"/>
      <c r="D60" s="269"/>
      <c r="E60" s="274" t="s">
        <v>261</v>
      </c>
      <c r="F60" s="247" t="s">
        <v>263</v>
      </c>
    </row>
    <row r="61" spans="1:6" s="11" customFormat="1" ht="31.5">
      <c r="A61" s="268"/>
      <c r="B61" s="18" t="s">
        <v>265</v>
      </c>
      <c r="C61" s="18" t="s">
        <v>267</v>
      </c>
      <c r="D61" s="18" t="s">
        <v>266</v>
      </c>
      <c r="E61" s="275"/>
      <c r="F61" s="247"/>
    </row>
    <row r="62" spans="1:6" ht="12.75">
      <c r="A62" s="51" t="s">
        <v>203</v>
      </c>
      <c r="B62" s="52">
        <v>0</v>
      </c>
      <c r="C62" s="52">
        <v>1</v>
      </c>
      <c r="D62" s="52">
        <v>0</v>
      </c>
      <c r="E62" s="59">
        <v>1</v>
      </c>
      <c r="F62" s="60">
        <v>14</v>
      </c>
    </row>
    <row r="63" spans="1:6" ht="12.75">
      <c r="A63" s="51" t="s">
        <v>251</v>
      </c>
      <c r="B63" s="52">
        <v>1</v>
      </c>
      <c r="C63" s="52">
        <v>1</v>
      </c>
      <c r="D63" s="52">
        <v>1</v>
      </c>
      <c r="E63" s="59">
        <v>3</v>
      </c>
      <c r="F63" s="60">
        <v>44</v>
      </c>
    </row>
    <row r="64" spans="1:6" ht="12.75">
      <c r="A64" s="51" t="s">
        <v>212</v>
      </c>
      <c r="B64" s="52">
        <v>1</v>
      </c>
      <c r="C64" s="52">
        <v>0</v>
      </c>
      <c r="D64" s="52">
        <v>0</v>
      </c>
      <c r="E64" s="59">
        <v>1</v>
      </c>
      <c r="F64" s="60">
        <v>23</v>
      </c>
    </row>
    <row r="65" spans="1:6" ht="12.75">
      <c r="A65" s="51" t="s">
        <v>214</v>
      </c>
      <c r="B65" s="52">
        <v>1</v>
      </c>
      <c r="C65" s="52">
        <v>0</v>
      </c>
      <c r="D65" s="52">
        <v>0</v>
      </c>
      <c r="E65" s="59">
        <v>1</v>
      </c>
      <c r="F65" s="60">
        <v>21</v>
      </c>
    </row>
    <row r="66" spans="1:6" ht="12.75">
      <c r="A66" s="51" t="s">
        <v>243</v>
      </c>
      <c r="B66" s="52">
        <v>1</v>
      </c>
      <c r="C66" s="52">
        <v>0</v>
      </c>
      <c r="D66" s="52">
        <v>0</v>
      </c>
      <c r="E66" s="59">
        <v>1</v>
      </c>
      <c r="F66" s="60">
        <v>26</v>
      </c>
    </row>
    <row r="67" spans="1:7" s="23" customFormat="1" ht="17.25" customHeight="1">
      <c r="A67" s="21" t="s">
        <v>271</v>
      </c>
      <c r="B67" s="22">
        <f>SUM(B62:B66)</f>
        <v>4</v>
      </c>
      <c r="C67" s="22">
        <f>SUM(C62:C66)</f>
        <v>2</v>
      </c>
      <c r="D67" s="22">
        <f>SUM(D62:D66)</f>
        <v>1</v>
      </c>
      <c r="E67" s="22">
        <f>SUM(E62:E66)</f>
        <v>7</v>
      </c>
      <c r="F67" s="22">
        <f>SUM(F62:F66)</f>
        <v>128</v>
      </c>
      <c r="G67" s="11"/>
    </row>
    <row r="70" spans="1:7" s="11" customFormat="1" ht="60.75" customHeight="1">
      <c r="A70" s="24" t="s">
        <v>444</v>
      </c>
      <c r="B70" s="248" t="s">
        <v>399</v>
      </c>
      <c r="C70" s="249"/>
      <c r="D70" s="249"/>
      <c r="E70" s="249"/>
      <c r="F70" s="250"/>
      <c r="G70" s="25"/>
    </row>
    <row r="71" spans="1:6" s="11" customFormat="1" ht="24" customHeight="1">
      <c r="A71" s="268" t="s">
        <v>269</v>
      </c>
      <c r="B71" s="269" t="s">
        <v>260</v>
      </c>
      <c r="C71" s="269"/>
      <c r="D71" s="269"/>
      <c r="E71" s="274" t="s">
        <v>261</v>
      </c>
      <c r="F71" s="247" t="s">
        <v>263</v>
      </c>
    </row>
    <row r="72" spans="1:6" s="11" customFormat="1" ht="31.5">
      <c r="A72" s="268"/>
      <c r="B72" s="18" t="s">
        <v>265</v>
      </c>
      <c r="C72" s="18" t="s">
        <v>267</v>
      </c>
      <c r="D72" s="18" t="s">
        <v>266</v>
      </c>
      <c r="E72" s="275"/>
      <c r="F72" s="247"/>
    </row>
    <row r="73" spans="1:6" ht="12.75">
      <c r="A73" s="51" t="s">
        <v>247</v>
      </c>
      <c r="B73" s="52">
        <v>0</v>
      </c>
      <c r="C73" s="52">
        <v>0</v>
      </c>
      <c r="D73" s="52">
        <v>1</v>
      </c>
      <c r="E73" s="59">
        <v>1</v>
      </c>
      <c r="F73" s="60">
        <v>24</v>
      </c>
    </row>
    <row r="74" spans="1:6" ht="12.75">
      <c r="A74" s="51" t="s">
        <v>288</v>
      </c>
      <c r="B74" s="52">
        <v>0</v>
      </c>
      <c r="C74" s="52">
        <v>0</v>
      </c>
      <c r="D74" s="52">
        <v>3</v>
      </c>
      <c r="E74" s="59">
        <v>3</v>
      </c>
      <c r="F74" s="60">
        <v>50</v>
      </c>
    </row>
    <row r="75" spans="1:6" ht="12.75">
      <c r="A75" s="51" t="s">
        <v>294</v>
      </c>
      <c r="B75" s="52">
        <v>1</v>
      </c>
      <c r="C75" s="52">
        <v>0</v>
      </c>
      <c r="D75" s="52">
        <v>1</v>
      </c>
      <c r="E75" s="59">
        <v>2</v>
      </c>
      <c r="F75" s="60">
        <v>75</v>
      </c>
    </row>
    <row r="76" spans="1:7" s="23" customFormat="1" ht="17.25" customHeight="1">
      <c r="A76" s="21" t="s">
        <v>223</v>
      </c>
      <c r="B76" s="22">
        <f>SUM(B73:B75)</f>
        <v>1</v>
      </c>
      <c r="C76" s="22">
        <f>SUM(C73:C75)</f>
        <v>0</v>
      </c>
      <c r="D76" s="22">
        <f>SUM(D73:D75)</f>
        <v>5</v>
      </c>
      <c r="E76" s="22">
        <f>SUM(E73:E75)</f>
        <v>6</v>
      </c>
      <c r="F76" s="22">
        <f>SUM(F73:F75)</f>
        <v>149</v>
      </c>
      <c r="G76" s="11"/>
    </row>
    <row r="79" spans="1:7" s="11" customFormat="1" ht="60.75" customHeight="1">
      <c r="A79" s="24" t="s">
        <v>444</v>
      </c>
      <c r="B79" s="248" t="s">
        <v>408</v>
      </c>
      <c r="C79" s="249"/>
      <c r="D79" s="249"/>
      <c r="E79" s="249"/>
      <c r="F79" s="250"/>
      <c r="G79" s="25"/>
    </row>
    <row r="80" spans="1:6" s="11" customFormat="1" ht="24" customHeight="1">
      <c r="A80" s="268" t="s">
        <v>269</v>
      </c>
      <c r="B80" s="269" t="s">
        <v>260</v>
      </c>
      <c r="C80" s="269"/>
      <c r="D80" s="269"/>
      <c r="E80" s="274" t="s">
        <v>261</v>
      </c>
      <c r="F80" s="247" t="s">
        <v>263</v>
      </c>
    </row>
    <row r="81" spans="1:6" s="11" customFormat="1" ht="31.5">
      <c r="A81" s="268"/>
      <c r="B81" s="18" t="s">
        <v>265</v>
      </c>
      <c r="C81" s="18" t="s">
        <v>267</v>
      </c>
      <c r="D81" s="18" t="s">
        <v>266</v>
      </c>
      <c r="E81" s="275"/>
      <c r="F81" s="247"/>
    </row>
    <row r="82" spans="1:6" ht="12.75">
      <c r="A82" s="51" t="s">
        <v>304</v>
      </c>
      <c r="B82" s="52">
        <v>0</v>
      </c>
      <c r="C82" s="52">
        <v>0</v>
      </c>
      <c r="D82" s="52">
        <v>1</v>
      </c>
      <c r="E82" s="59">
        <v>1</v>
      </c>
      <c r="F82" s="60">
        <v>20</v>
      </c>
    </row>
    <row r="83" spans="1:6" ht="12.75">
      <c r="A83" s="51" t="s">
        <v>307</v>
      </c>
      <c r="B83" s="52">
        <v>0</v>
      </c>
      <c r="C83" s="52">
        <v>0</v>
      </c>
      <c r="D83" s="52">
        <v>1</v>
      </c>
      <c r="E83" s="59">
        <v>1</v>
      </c>
      <c r="F83" s="60">
        <v>18</v>
      </c>
    </row>
    <row r="84" spans="1:6" ht="12.75">
      <c r="A84" s="51" t="s">
        <v>308</v>
      </c>
      <c r="B84" s="52">
        <v>1</v>
      </c>
      <c r="C84" s="52">
        <v>0</v>
      </c>
      <c r="D84" s="52">
        <v>1</v>
      </c>
      <c r="E84" s="59">
        <v>2</v>
      </c>
      <c r="F84" s="60">
        <v>37</v>
      </c>
    </row>
    <row r="85" spans="1:6" ht="12.75">
      <c r="A85" s="51" t="s">
        <v>311</v>
      </c>
      <c r="B85" s="52">
        <v>0</v>
      </c>
      <c r="C85" s="52">
        <v>0</v>
      </c>
      <c r="D85" s="52">
        <v>1</v>
      </c>
      <c r="E85" s="59">
        <v>1</v>
      </c>
      <c r="F85" s="60">
        <v>15</v>
      </c>
    </row>
    <row r="86" spans="1:6" ht="12.75">
      <c r="A86" s="51" t="s">
        <v>313</v>
      </c>
      <c r="B86" s="52">
        <v>0</v>
      </c>
      <c r="C86" s="52">
        <v>0</v>
      </c>
      <c r="D86" s="52">
        <v>1</v>
      </c>
      <c r="E86" s="59">
        <v>1</v>
      </c>
      <c r="F86" s="60">
        <v>30</v>
      </c>
    </row>
    <row r="87" spans="1:6" ht="12.75">
      <c r="A87" s="51" t="s">
        <v>253</v>
      </c>
      <c r="B87" s="52">
        <v>1</v>
      </c>
      <c r="C87" s="52">
        <v>0</v>
      </c>
      <c r="D87" s="52">
        <v>3</v>
      </c>
      <c r="E87" s="59">
        <v>4</v>
      </c>
      <c r="F87" s="60">
        <v>100</v>
      </c>
    </row>
    <row r="88" spans="1:6" ht="12.75">
      <c r="A88" s="51" t="s">
        <v>330</v>
      </c>
      <c r="B88" s="52">
        <v>2</v>
      </c>
      <c r="C88" s="52">
        <v>0</v>
      </c>
      <c r="D88" s="52">
        <v>0</v>
      </c>
      <c r="E88" s="59">
        <v>2</v>
      </c>
      <c r="F88" s="60">
        <v>28</v>
      </c>
    </row>
    <row r="89" spans="1:6" ht="12.75">
      <c r="A89" s="51" t="s">
        <v>333</v>
      </c>
      <c r="B89" s="52">
        <v>1</v>
      </c>
      <c r="C89" s="52">
        <v>0</v>
      </c>
      <c r="D89" s="52">
        <v>0</v>
      </c>
      <c r="E89" s="59">
        <v>1</v>
      </c>
      <c r="F89" s="60">
        <v>28</v>
      </c>
    </row>
    <row r="90" spans="1:7" s="23" customFormat="1" ht="17.25" customHeight="1">
      <c r="A90" s="21" t="s">
        <v>224</v>
      </c>
      <c r="B90" s="22">
        <f>SUM(B82:B89)</f>
        <v>5</v>
      </c>
      <c r="C90" s="22">
        <f>SUM(C82:C89)</f>
        <v>0</v>
      </c>
      <c r="D90" s="22">
        <f>SUM(D82:D89)</f>
        <v>8</v>
      </c>
      <c r="E90" s="22">
        <f>SUM(E82:E89)</f>
        <v>13</v>
      </c>
      <c r="F90" s="22">
        <f>SUM(F82:F89)</f>
        <v>276</v>
      </c>
      <c r="G90" s="11"/>
    </row>
    <row r="93" spans="1:7" s="11" customFormat="1" ht="60.75" customHeight="1">
      <c r="A93" s="24" t="s">
        <v>444</v>
      </c>
      <c r="B93" s="248" t="s">
        <v>361</v>
      </c>
      <c r="C93" s="249"/>
      <c r="D93" s="249"/>
      <c r="E93" s="249"/>
      <c r="F93" s="250"/>
      <c r="G93" s="25"/>
    </row>
    <row r="94" spans="1:6" s="11" customFormat="1" ht="24" customHeight="1">
      <c r="A94" s="268" t="s">
        <v>269</v>
      </c>
      <c r="B94" s="269" t="s">
        <v>260</v>
      </c>
      <c r="C94" s="269"/>
      <c r="D94" s="269"/>
      <c r="E94" s="274" t="s">
        <v>261</v>
      </c>
      <c r="F94" s="247" t="s">
        <v>263</v>
      </c>
    </row>
    <row r="95" spans="1:6" s="11" customFormat="1" ht="31.5">
      <c r="A95" s="268"/>
      <c r="B95" s="18" t="s">
        <v>265</v>
      </c>
      <c r="C95" s="18" t="s">
        <v>267</v>
      </c>
      <c r="D95" s="18" t="s">
        <v>266</v>
      </c>
      <c r="E95" s="275"/>
      <c r="F95" s="247"/>
    </row>
    <row r="96" spans="1:6" ht="12.75">
      <c r="A96" s="51" t="s">
        <v>129</v>
      </c>
      <c r="B96" s="52">
        <v>0</v>
      </c>
      <c r="C96" s="52">
        <v>0</v>
      </c>
      <c r="D96" s="52">
        <v>2</v>
      </c>
      <c r="E96" s="59">
        <v>2</v>
      </c>
      <c r="F96" s="60">
        <v>36</v>
      </c>
    </row>
    <row r="97" spans="1:6" ht="12.75">
      <c r="A97" s="51" t="s">
        <v>254</v>
      </c>
      <c r="B97" s="52">
        <v>0</v>
      </c>
      <c r="C97" s="52">
        <v>1</v>
      </c>
      <c r="D97" s="52">
        <v>1</v>
      </c>
      <c r="E97" s="59">
        <v>2</v>
      </c>
      <c r="F97" s="60">
        <v>17</v>
      </c>
    </row>
    <row r="98" spans="1:6" ht="12.75">
      <c r="A98" s="51" t="s">
        <v>123</v>
      </c>
      <c r="B98" s="52">
        <v>0</v>
      </c>
      <c r="C98" s="52">
        <v>0</v>
      </c>
      <c r="D98" s="52">
        <v>1</v>
      </c>
      <c r="E98" s="59">
        <v>1</v>
      </c>
      <c r="F98" s="60">
        <v>18</v>
      </c>
    </row>
    <row r="99" spans="1:6" ht="12.75">
      <c r="A99" s="51" t="s">
        <v>121</v>
      </c>
      <c r="B99" s="52">
        <v>1</v>
      </c>
      <c r="C99" s="52">
        <v>0</v>
      </c>
      <c r="D99" s="52">
        <v>1</v>
      </c>
      <c r="E99" s="59">
        <v>2</v>
      </c>
      <c r="F99" s="60">
        <v>50</v>
      </c>
    </row>
    <row r="100" spans="1:6" ht="12.75">
      <c r="A100" s="51" t="s">
        <v>114</v>
      </c>
      <c r="B100" s="52">
        <v>1</v>
      </c>
      <c r="C100" s="52">
        <v>0</v>
      </c>
      <c r="D100" s="52">
        <v>0</v>
      </c>
      <c r="E100" s="59">
        <v>1</v>
      </c>
      <c r="F100" s="60">
        <v>19</v>
      </c>
    </row>
    <row r="101" spans="1:6" ht="12.75">
      <c r="A101" s="51" t="s">
        <v>336</v>
      </c>
      <c r="B101" s="52">
        <v>1</v>
      </c>
      <c r="C101" s="52">
        <v>0</v>
      </c>
      <c r="D101" s="52">
        <v>0</v>
      </c>
      <c r="E101" s="59">
        <v>1</v>
      </c>
      <c r="F101" s="60">
        <v>19</v>
      </c>
    </row>
    <row r="102" spans="1:6" ht="12.75">
      <c r="A102" s="51" t="s">
        <v>100</v>
      </c>
      <c r="B102" s="52">
        <v>0</v>
      </c>
      <c r="C102" s="52">
        <v>0</v>
      </c>
      <c r="D102" s="52">
        <v>1</v>
      </c>
      <c r="E102" s="59">
        <v>1</v>
      </c>
      <c r="F102" s="60">
        <v>20</v>
      </c>
    </row>
    <row r="103" spans="1:6" ht="12.75">
      <c r="A103" s="51" t="s">
        <v>242</v>
      </c>
      <c r="B103" s="52">
        <v>0</v>
      </c>
      <c r="C103" s="52">
        <v>0</v>
      </c>
      <c r="D103" s="52">
        <v>1</v>
      </c>
      <c r="E103" s="59">
        <v>1</v>
      </c>
      <c r="F103" s="60">
        <v>20</v>
      </c>
    </row>
    <row r="104" spans="1:6" ht="12.75">
      <c r="A104" s="51" t="s">
        <v>95</v>
      </c>
      <c r="B104" s="52">
        <v>0</v>
      </c>
      <c r="C104" s="52">
        <v>1</v>
      </c>
      <c r="D104" s="52">
        <v>0</v>
      </c>
      <c r="E104" s="59">
        <v>1</v>
      </c>
      <c r="F104" s="60">
        <v>11</v>
      </c>
    </row>
    <row r="105" spans="1:7" s="23" customFormat="1" ht="17.25" customHeight="1">
      <c r="A105" s="21" t="s">
        <v>225</v>
      </c>
      <c r="B105" s="22">
        <f>SUM(B96:B104)</f>
        <v>3</v>
      </c>
      <c r="C105" s="22">
        <f>SUM(C96:C104)</f>
        <v>2</v>
      </c>
      <c r="D105" s="22">
        <f>SUM(D96:D104)</f>
        <v>7</v>
      </c>
      <c r="E105" s="32">
        <f>SUM(E96:E104)</f>
        <v>12</v>
      </c>
      <c r="F105" s="22">
        <f>SUM(F96:F104)</f>
        <v>210</v>
      </c>
      <c r="G105" s="11"/>
    </row>
    <row r="108" spans="1:7" s="11" customFormat="1" ht="60.75" customHeight="1">
      <c r="A108" s="24" t="s">
        <v>444</v>
      </c>
      <c r="B108" s="248" t="s">
        <v>409</v>
      </c>
      <c r="C108" s="249"/>
      <c r="D108" s="249"/>
      <c r="E108" s="249"/>
      <c r="F108" s="250"/>
      <c r="G108" s="25"/>
    </row>
    <row r="109" spans="1:6" s="11" customFormat="1" ht="24" customHeight="1">
      <c r="A109" s="268" t="s">
        <v>269</v>
      </c>
      <c r="B109" s="269" t="s">
        <v>260</v>
      </c>
      <c r="C109" s="269"/>
      <c r="D109" s="269"/>
      <c r="E109" s="274" t="s">
        <v>261</v>
      </c>
      <c r="F109" s="247" t="s">
        <v>263</v>
      </c>
    </row>
    <row r="110" spans="1:6" s="11" customFormat="1" ht="31.5">
      <c r="A110" s="268"/>
      <c r="B110" s="18" t="s">
        <v>265</v>
      </c>
      <c r="C110" s="18" t="s">
        <v>267</v>
      </c>
      <c r="D110" s="18" t="s">
        <v>266</v>
      </c>
      <c r="E110" s="275"/>
      <c r="F110" s="247"/>
    </row>
    <row r="111" spans="1:6" ht="12.75">
      <c r="A111" s="51" t="s">
        <v>161</v>
      </c>
      <c r="B111" s="52">
        <v>0</v>
      </c>
      <c r="C111" s="52">
        <v>0</v>
      </c>
      <c r="D111" s="52">
        <v>3</v>
      </c>
      <c r="E111" s="59">
        <v>3</v>
      </c>
      <c r="F111" s="60">
        <v>41</v>
      </c>
    </row>
    <row r="112" spans="1:6" ht="12.75">
      <c r="A112" s="51" t="s">
        <v>162</v>
      </c>
      <c r="B112" s="52">
        <v>0</v>
      </c>
      <c r="C112" s="52">
        <v>0</v>
      </c>
      <c r="D112" s="52">
        <v>2</v>
      </c>
      <c r="E112" s="59">
        <v>2</v>
      </c>
      <c r="F112" s="60">
        <v>22</v>
      </c>
    </row>
    <row r="113" spans="1:6" ht="12.75">
      <c r="A113" s="51" t="s">
        <v>164</v>
      </c>
      <c r="B113" s="52">
        <v>0</v>
      </c>
      <c r="C113" s="52">
        <v>0</v>
      </c>
      <c r="D113" s="52">
        <v>2</v>
      </c>
      <c r="E113" s="59">
        <v>2</v>
      </c>
      <c r="F113" s="60">
        <v>28</v>
      </c>
    </row>
    <row r="114" spans="1:6" ht="12.75">
      <c r="A114" s="51" t="s">
        <v>255</v>
      </c>
      <c r="B114" s="52">
        <v>1</v>
      </c>
      <c r="C114" s="52">
        <v>2</v>
      </c>
      <c r="D114" s="52">
        <v>8</v>
      </c>
      <c r="E114" s="59">
        <v>11</v>
      </c>
      <c r="F114" s="60">
        <v>245</v>
      </c>
    </row>
    <row r="115" spans="1:6" ht="12.75">
      <c r="A115" s="51" t="s">
        <v>167</v>
      </c>
      <c r="B115" s="52">
        <v>0</v>
      </c>
      <c r="C115" s="52">
        <v>0</v>
      </c>
      <c r="D115" s="52">
        <v>1</v>
      </c>
      <c r="E115" s="59">
        <v>1</v>
      </c>
      <c r="F115" s="60">
        <v>10</v>
      </c>
    </row>
    <row r="116" spans="1:6" ht="12.75">
      <c r="A116" s="51" t="s">
        <v>156</v>
      </c>
      <c r="B116" s="52">
        <v>0</v>
      </c>
      <c r="C116" s="52">
        <v>0</v>
      </c>
      <c r="D116" s="52">
        <v>1</v>
      </c>
      <c r="E116" s="59">
        <v>1</v>
      </c>
      <c r="F116" s="60">
        <v>10</v>
      </c>
    </row>
    <row r="117" spans="1:6" ht="12.75">
      <c r="A117" s="51" t="s">
        <v>404</v>
      </c>
      <c r="B117" s="52">
        <v>0</v>
      </c>
      <c r="C117" s="52">
        <v>0</v>
      </c>
      <c r="D117" s="52">
        <v>1</v>
      </c>
      <c r="E117" s="59">
        <v>1</v>
      </c>
      <c r="F117" s="60">
        <v>10</v>
      </c>
    </row>
    <row r="118" spans="1:7" s="23" customFormat="1" ht="17.25" customHeight="1">
      <c r="A118" s="21" t="s">
        <v>226</v>
      </c>
      <c r="B118" s="22">
        <f>SUM(B111:B117)</f>
        <v>1</v>
      </c>
      <c r="C118" s="22">
        <f>SUM(C111:C117)</f>
        <v>2</v>
      </c>
      <c r="D118" s="22">
        <f>SUM(D111:D117)</f>
        <v>18</v>
      </c>
      <c r="E118" s="22">
        <f>SUM(E111:E117)</f>
        <v>21</v>
      </c>
      <c r="F118" s="22">
        <f>SUM(F111:F117)</f>
        <v>366</v>
      </c>
      <c r="G118" s="11"/>
    </row>
    <row r="122" spans="1:7" s="11" customFormat="1" ht="60.75" customHeight="1">
      <c r="A122" s="24" t="s">
        <v>444</v>
      </c>
      <c r="B122" s="248" t="s">
        <v>360</v>
      </c>
      <c r="C122" s="249"/>
      <c r="D122" s="249"/>
      <c r="E122" s="249"/>
      <c r="F122" s="250"/>
      <c r="G122" s="25"/>
    </row>
    <row r="123" spans="1:6" s="11" customFormat="1" ht="24" customHeight="1">
      <c r="A123" s="268" t="s">
        <v>269</v>
      </c>
      <c r="B123" s="269" t="s">
        <v>260</v>
      </c>
      <c r="C123" s="269"/>
      <c r="D123" s="269"/>
      <c r="E123" s="274" t="s">
        <v>261</v>
      </c>
      <c r="F123" s="247" t="s">
        <v>263</v>
      </c>
    </row>
    <row r="124" spans="1:6" s="11" customFormat="1" ht="31.5">
      <c r="A124" s="268"/>
      <c r="B124" s="18" t="s">
        <v>265</v>
      </c>
      <c r="C124" s="18" t="s">
        <v>267</v>
      </c>
      <c r="D124" s="18" t="s">
        <v>266</v>
      </c>
      <c r="E124" s="275"/>
      <c r="F124" s="247"/>
    </row>
    <row r="125" spans="1:6" ht="12.75">
      <c r="A125" s="51" t="s">
        <v>337</v>
      </c>
      <c r="B125" s="52">
        <v>0</v>
      </c>
      <c r="C125" s="52">
        <v>0</v>
      </c>
      <c r="D125" s="52">
        <v>1</v>
      </c>
      <c r="E125" s="59">
        <v>1</v>
      </c>
      <c r="F125" s="60">
        <v>22</v>
      </c>
    </row>
    <row r="126" spans="1:6" ht="12.75">
      <c r="A126" s="51" t="s">
        <v>338</v>
      </c>
      <c r="B126" s="52">
        <v>0</v>
      </c>
      <c r="C126" s="52">
        <v>0</v>
      </c>
      <c r="D126" s="52">
        <v>1</v>
      </c>
      <c r="E126" s="59">
        <v>1</v>
      </c>
      <c r="F126" s="60">
        <v>9</v>
      </c>
    </row>
    <row r="127" spans="1:6" ht="12.75">
      <c r="A127" s="51" t="s">
        <v>339</v>
      </c>
      <c r="B127" s="52">
        <v>0</v>
      </c>
      <c r="C127" s="52">
        <v>0</v>
      </c>
      <c r="D127" s="52">
        <v>1</v>
      </c>
      <c r="E127" s="59">
        <v>1</v>
      </c>
      <c r="F127" s="60">
        <v>35</v>
      </c>
    </row>
    <row r="128" spans="1:6" ht="12.75">
      <c r="A128" s="51" t="s">
        <v>233</v>
      </c>
      <c r="B128" s="52">
        <v>0</v>
      </c>
      <c r="C128" s="52">
        <v>0</v>
      </c>
      <c r="D128" s="52">
        <v>4</v>
      </c>
      <c r="E128" s="59">
        <v>4</v>
      </c>
      <c r="F128" s="60">
        <v>87</v>
      </c>
    </row>
    <row r="129" spans="1:6" ht="12.75">
      <c r="A129" s="51" t="s">
        <v>232</v>
      </c>
      <c r="B129" s="52">
        <v>0</v>
      </c>
      <c r="C129" s="52">
        <v>0</v>
      </c>
      <c r="D129" s="52">
        <v>1</v>
      </c>
      <c r="E129" s="59">
        <v>1</v>
      </c>
      <c r="F129" s="60">
        <v>10</v>
      </c>
    </row>
    <row r="130" spans="1:6" ht="12.75">
      <c r="A130" s="51" t="s">
        <v>256</v>
      </c>
      <c r="B130" s="52">
        <v>0</v>
      </c>
      <c r="C130" s="52">
        <v>1</v>
      </c>
      <c r="D130" s="52">
        <v>1</v>
      </c>
      <c r="E130" s="59">
        <v>2</v>
      </c>
      <c r="F130" s="60">
        <v>31</v>
      </c>
    </row>
    <row r="131" spans="1:7" s="23" customFormat="1" ht="17.25" customHeight="1">
      <c r="A131" s="21" t="s">
        <v>182</v>
      </c>
      <c r="B131" s="22">
        <f>SUM(B125:B130)</f>
        <v>0</v>
      </c>
      <c r="C131" s="22">
        <f>SUM(C125:C130)</f>
        <v>1</v>
      </c>
      <c r="D131" s="22">
        <f>SUM(D125:D130)</f>
        <v>9</v>
      </c>
      <c r="E131" s="22">
        <f>SUM(E125:E130)</f>
        <v>10</v>
      </c>
      <c r="F131" s="22">
        <f>SUM(F125:F130)</f>
        <v>194</v>
      </c>
      <c r="G131" s="11"/>
    </row>
    <row r="132" spans="7:9" ht="12.75">
      <c r="G132" s="11"/>
      <c r="H132" s="11"/>
      <c r="I132" s="11"/>
    </row>
    <row r="134" spans="1:7" s="11" customFormat="1" ht="60.75" customHeight="1">
      <c r="A134" s="24" t="s">
        <v>444</v>
      </c>
      <c r="B134" s="248" t="s">
        <v>419</v>
      </c>
      <c r="C134" s="249"/>
      <c r="D134" s="249"/>
      <c r="E134" s="249"/>
      <c r="F134" s="250"/>
      <c r="G134" s="25"/>
    </row>
    <row r="135" spans="1:6" s="11" customFormat="1" ht="24" customHeight="1">
      <c r="A135" s="268" t="s">
        <v>269</v>
      </c>
      <c r="B135" s="269" t="s">
        <v>260</v>
      </c>
      <c r="C135" s="269"/>
      <c r="D135" s="269"/>
      <c r="E135" s="274" t="s">
        <v>261</v>
      </c>
      <c r="F135" s="247" t="s">
        <v>263</v>
      </c>
    </row>
    <row r="136" spans="1:6" s="11" customFormat="1" ht="31.5">
      <c r="A136" s="268"/>
      <c r="B136" s="18" t="s">
        <v>265</v>
      </c>
      <c r="C136" s="18" t="s">
        <v>267</v>
      </c>
      <c r="D136" s="18" t="s">
        <v>266</v>
      </c>
      <c r="E136" s="275"/>
      <c r="F136" s="247"/>
    </row>
    <row r="137" spans="1:6" ht="12.75">
      <c r="A137" s="51" t="s">
        <v>152</v>
      </c>
      <c r="B137" s="52">
        <v>1</v>
      </c>
      <c r="C137" s="52">
        <v>0</v>
      </c>
      <c r="D137" s="52">
        <v>0</v>
      </c>
      <c r="E137" s="59">
        <v>1</v>
      </c>
      <c r="F137" s="60">
        <v>21</v>
      </c>
    </row>
    <row r="138" spans="1:6" ht="12.75">
      <c r="A138" s="51" t="s">
        <v>150</v>
      </c>
      <c r="B138" s="52">
        <v>0</v>
      </c>
      <c r="C138" s="52">
        <v>1</v>
      </c>
      <c r="D138" s="52">
        <v>0</v>
      </c>
      <c r="E138" s="59">
        <v>1</v>
      </c>
      <c r="F138" s="60">
        <v>20</v>
      </c>
    </row>
    <row r="139" spans="1:6" ht="12.75">
      <c r="A139" s="51" t="s">
        <v>180</v>
      </c>
      <c r="B139" s="52">
        <v>0</v>
      </c>
      <c r="C139" s="52">
        <v>1</v>
      </c>
      <c r="D139" s="52">
        <v>0</v>
      </c>
      <c r="E139" s="59">
        <v>1</v>
      </c>
      <c r="F139" s="60">
        <v>13</v>
      </c>
    </row>
    <row r="140" spans="1:7" s="23" customFormat="1" ht="30" customHeight="1">
      <c r="A140" s="21" t="s">
        <v>183</v>
      </c>
      <c r="B140" s="22">
        <f>SUM(B137:B139)</f>
        <v>1</v>
      </c>
      <c r="C140" s="22">
        <f>SUM(C137:C139)</f>
        <v>2</v>
      </c>
      <c r="D140" s="22">
        <f>SUM(D137:D139)</f>
        <v>0</v>
      </c>
      <c r="E140" s="22">
        <f>SUM(E137:E139)</f>
        <v>3</v>
      </c>
      <c r="F140" s="22">
        <f>SUM(F137:F139)</f>
        <v>54</v>
      </c>
      <c r="G140" s="11"/>
    </row>
    <row r="141" spans="7:9" ht="12.75">
      <c r="G141" s="11"/>
      <c r="H141" s="11"/>
      <c r="I141" s="11"/>
    </row>
    <row r="143" spans="1:7" s="11" customFormat="1" ht="60.75" customHeight="1">
      <c r="A143" s="24" t="s">
        <v>444</v>
      </c>
      <c r="B143" s="248" t="s">
        <v>420</v>
      </c>
      <c r="C143" s="249"/>
      <c r="D143" s="249"/>
      <c r="E143" s="249"/>
      <c r="F143" s="250"/>
      <c r="G143" s="25"/>
    </row>
    <row r="144" spans="1:6" s="11" customFormat="1" ht="24" customHeight="1">
      <c r="A144" s="268" t="s">
        <v>269</v>
      </c>
      <c r="B144" s="269" t="s">
        <v>260</v>
      </c>
      <c r="C144" s="269"/>
      <c r="D144" s="269"/>
      <c r="E144" s="274" t="s">
        <v>261</v>
      </c>
      <c r="F144" s="247" t="s">
        <v>263</v>
      </c>
    </row>
    <row r="145" spans="1:6" s="11" customFormat="1" ht="31.5">
      <c r="A145" s="268"/>
      <c r="B145" s="18" t="s">
        <v>265</v>
      </c>
      <c r="C145" s="18" t="s">
        <v>267</v>
      </c>
      <c r="D145" s="18" t="s">
        <v>266</v>
      </c>
      <c r="E145" s="275"/>
      <c r="F145" s="247"/>
    </row>
    <row r="146" spans="1:6" ht="12.75">
      <c r="A146" s="51" t="s">
        <v>258</v>
      </c>
      <c r="B146" s="52">
        <v>0</v>
      </c>
      <c r="C146" s="52">
        <v>1</v>
      </c>
      <c r="D146" s="52">
        <v>0</v>
      </c>
      <c r="E146" s="59">
        <v>1</v>
      </c>
      <c r="F146" s="60">
        <v>6</v>
      </c>
    </row>
    <row r="147" spans="1:7" s="23" customFormat="1" ht="17.25" customHeight="1">
      <c r="A147" s="21" t="s">
        <v>184</v>
      </c>
      <c r="B147" s="22">
        <f>SUM(B146)</f>
        <v>0</v>
      </c>
      <c r="C147" s="22">
        <f>SUM(C146)</f>
        <v>1</v>
      </c>
      <c r="D147" s="22">
        <f>SUM(D146)</f>
        <v>0</v>
      </c>
      <c r="E147" s="32">
        <f>SUM(E146)</f>
        <v>1</v>
      </c>
      <c r="F147" s="22">
        <f>SUM(F146)</f>
        <v>6</v>
      </c>
      <c r="G147" s="11"/>
    </row>
    <row r="148" spans="7:9" ht="12.75">
      <c r="G148" s="11"/>
      <c r="H148" s="11"/>
      <c r="I148" s="11"/>
    </row>
  </sheetData>
  <mergeCells count="53">
    <mergeCell ref="A144:A145"/>
    <mergeCell ref="B144:D144"/>
    <mergeCell ref="F144:F145"/>
    <mergeCell ref="B143:F143"/>
    <mergeCell ref="E144:E145"/>
    <mergeCell ref="A135:A136"/>
    <mergeCell ref="B135:D135"/>
    <mergeCell ref="F135:F136"/>
    <mergeCell ref="B134:F134"/>
    <mergeCell ref="E135:E136"/>
    <mergeCell ref="A123:A124"/>
    <mergeCell ref="B123:D123"/>
    <mergeCell ref="F123:F124"/>
    <mergeCell ref="B122:F122"/>
    <mergeCell ref="E123:E124"/>
    <mergeCell ref="B108:F108"/>
    <mergeCell ref="A109:A110"/>
    <mergeCell ref="B109:D109"/>
    <mergeCell ref="F109:F110"/>
    <mergeCell ref="E109:E110"/>
    <mergeCell ref="E94:E95"/>
    <mergeCell ref="A94:A95"/>
    <mergeCell ref="B94:D94"/>
    <mergeCell ref="F94:F95"/>
    <mergeCell ref="A80:A81"/>
    <mergeCell ref="B80:D80"/>
    <mergeCell ref="F80:F81"/>
    <mergeCell ref="B93:F93"/>
    <mergeCell ref="A71:A72"/>
    <mergeCell ref="B71:D71"/>
    <mergeCell ref="F71:F72"/>
    <mergeCell ref="B70:F70"/>
    <mergeCell ref="E71:E72"/>
    <mergeCell ref="B60:D60"/>
    <mergeCell ref="F60:F61"/>
    <mergeCell ref="B59:F59"/>
    <mergeCell ref="E60:E61"/>
    <mergeCell ref="G3:G4"/>
    <mergeCell ref="H3:H4"/>
    <mergeCell ref="B1:H1"/>
    <mergeCell ref="B50:F50"/>
    <mergeCell ref="B3:D3"/>
    <mergeCell ref="A48:H48"/>
    <mergeCell ref="B79:F79"/>
    <mergeCell ref="E80:E81"/>
    <mergeCell ref="A3:A4"/>
    <mergeCell ref="E3:E4"/>
    <mergeCell ref="F3:F4"/>
    <mergeCell ref="A51:A52"/>
    <mergeCell ref="B51:D51"/>
    <mergeCell ref="E51:E52"/>
    <mergeCell ref="F51:F52"/>
    <mergeCell ref="A60:A61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2"/>
  <headerFooter alignWithMargins="0">
    <oddFooter>&amp;C&amp;7&amp;P</oddFooter>
  </headerFooter>
  <rowBreaks count="3" manualBreakCount="3">
    <brk id="49" max="255" man="1"/>
    <brk id="78" max="255" man="1"/>
    <brk id="10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7"/>
  <sheetViews>
    <sheetView zoomScale="75" zoomScaleNormal="75" workbookViewId="0" topLeftCell="A1">
      <selection activeCell="C13" sqref="C13"/>
    </sheetView>
  </sheetViews>
  <sheetFormatPr defaultColWidth="9.140625" defaultRowHeight="12.75"/>
  <cols>
    <col min="1" max="1" width="23.28125" style="0" customWidth="1"/>
    <col min="2" max="2" width="9.00390625" style="0" bestFit="1" customWidth="1"/>
    <col min="3" max="3" width="11.28125" style="0" customWidth="1"/>
    <col min="4" max="6" width="9.00390625" style="0" bestFit="1" customWidth="1"/>
    <col min="7" max="7" width="9.28125" style="0" bestFit="1" customWidth="1"/>
  </cols>
  <sheetData>
    <row r="1" spans="1:10" s="2" customFormat="1" ht="71.25" customHeight="1">
      <c r="A1" s="126" t="s">
        <v>447</v>
      </c>
      <c r="B1" s="237" t="s">
        <v>448</v>
      </c>
      <c r="C1" s="238"/>
      <c r="D1" s="238"/>
      <c r="E1" s="238"/>
      <c r="F1" s="238"/>
      <c r="G1" s="252"/>
      <c r="H1" s="20"/>
      <c r="I1" s="20"/>
      <c r="J1" s="20"/>
    </row>
    <row r="2" spans="1:8" s="122" customFormat="1" ht="30.75" customHeight="1">
      <c r="A2" s="255" t="s">
        <v>185</v>
      </c>
      <c r="B2" s="246" t="s">
        <v>460</v>
      </c>
      <c r="C2" s="246"/>
      <c r="D2" s="246" t="s">
        <v>461</v>
      </c>
      <c r="E2" s="246"/>
      <c r="F2" s="284" t="s">
        <v>439</v>
      </c>
      <c r="G2" s="286" t="s">
        <v>30</v>
      </c>
      <c r="H2" s="20"/>
    </row>
    <row r="3" spans="1:8" s="122" customFormat="1" ht="30.75" customHeight="1">
      <c r="A3" s="256"/>
      <c r="B3" s="133" t="s">
        <v>438</v>
      </c>
      <c r="C3" s="133" t="s">
        <v>459</v>
      </c>
      <c r="D3" s="133" t="s">
        <v>438</v>
      </c>
      <c r="E3" s="133" t="s">
        <v>459</v>
      </c>
      <c r="F3" s="284"/>
      <c r="G3" s="286"/>
      <c r="H3" s="20"/>
    </row>
    <row r="4" spans="1:8" s="175" customFormat="1" ht="15" customHeight="1">
      <c r="A4" s="3" t="s">
        <v>250</v>
      </c>
      <c r="B4" s="182">
        <f>B65</f>
        <v>91</v>
      </c>
      <c r="C4" s="188">
        <f>C65</f>
        <v>8.504115226337449</v>
      </c>
      <c r="D4" s="181">
        <f>D65</f>
        <v>3</v>
      </c>
      <c r="E4" s="188">
        <f>E65</f>
        <v>5.7</v>
      </c>
      <c r="F4" s="183">
        <f>F65</f>
        <v>94</v>
      </c>
      <c r="G4" s="193">
        <f>F4/$F$13*100</f>
        <v>5.346985210466439</v>
      </c>
      <c r="H4" s="20"/>
    </row>
    <row r="5" spans="1:8" s="175" customFormat="1" ht="15" customHeight="1">
      <c r="A5" s="3" t="s">
        <v>251</v>
      </c>
      <c r="B5" s="184">
        <f>B96</f>
        <v>122</v>
      </c>
      <c r="C5" s="189">
        <f>C96</f>
        <v>8.464940476190476</v>
      </c>
      <c r="D5" s="177">
        <f>D96</f>
        <v>20</v>
      </c>
      <c r="E5" s="189">
        <f>E96</f>
        <v>6.626</v>
      </c>
      <c r="F5" s="185">
        <f>F96</f>
        <v>142</v>
      </c>
      <c r="G5" s="194">
        <f aca="true" t="shared" si="0" ref="G5:G13">F5/$F$13*100</f>
        <v>8.0773606370876</v>
      </c>
      <c r="H5" s="20"/>
    </row>
    <row r="6" spans="1:8" s="175" customFormat="1" ht="15" customHeight="1">
      <c r="A6" s="3" t="s">
        <v>252</v>
      </c>
      <c r="B6" s="184">
        <f>B136</f>
        <v>211</v>
      </c>
      <c r="C6" s="189">
        <f>C136</f>
        <v>8.163520408163265</v>
      </c>
      <c r="D6" s="177">
        <f>D136</f>
        <v>33</v>
      </c>
      <c r="E6" s="189">
        <f>E136</f>
        <v>5.295</v>
      </c>
      <c r="F6" s="185">
        <f>F136</f>
        <v>244</v>
      </c>
      <c r="G6" s="194">
        <f t="shared" si="0"/>
        <v>13.879408418657565</v>
      </c>
      <c r="H6" s="20"/>
    </row>
    <row r="7" spans="1:8" s="175" customFormat="1" ht="15" customHeight="1">
      <c r="A7" s="3" t="s">
        <v>253</v>
      </c>
      <c r="B7" s="184">
        <f>B177</f>
        <v>260</v>
      </c>
      <c r="C7" s="189">
        <f>C177</f>
        <v>8.374270833333334</v>
      </c>
      <c r="D7" s="177">
        <f>D177</f>
        <v>42</v>
      </c>
      <c r="E7" s="189">
        <f>E177</f>
        <v>5.2515789473684205</v>
      </c>
      <c r="F7" s="185">
        <f>F177</f>
        <v>302</v>
      </c>
      <c r="G7" s="194">
        <f t="shared" si="0"/>
        <v>17.178612059158134</v>
      </c>
      <c r="H7" s="20"/>
    </row>
    <row r="8" spans="1:8" s="175" customFormat="1" ht="15" customHeight="1">
      <c r="A8" s="3" t="s">
        <v>254</v>
      </c>
      <c r="B8" s="184">
        <f>B236</f>
        <v>414</v>
      </c>
      <c r="C8" s="189">
        <f>C236</f>
        <v>9.234492753623186</v>
      </c>
      <c r="D8" s="177">
        <f>D236</f>
        <v>46</v>
      </c>
      <c r="E8" s="189">
        <f>E236</f>
        <v>6.107692307692307</v>
      </c>
      <c r="F8" s="185">
        <f>F236</f>
        <v>460</v>
      </c>
      <c r="G8" s="194">
        <f t="shared" si="0"/>
        <v>26.16609783845279</v>
      </c>
      <c r="H8" s="20"/>
    </row>
    <row r="9" spans="1:8" s="175" customFormat="1" ht="15" customHeight="1">
      <c r="A9" s="3" t="s">
        <v>255</v>
      </c>
      <c r="B9" s="184">
        <f>B265</f>
        <v>133</v>
      </c>
      <c r="C9" s="189">
        <f>C265</f>
        <v>9.07</v>
      </c>
      <c r="D9" s="177">
        <f>D265</f>
        <v>8</v>
      </c>
      <c r="E9" s="189">
        <f>E265</f>
        <v>5</v>
      </c>
      <c r="F9" s="185">
        <f>F265</f>
        <v>141</v>
      </c>
      <c r="G9" s="194">
        <f t="shared" si="0"/>
        <v>8.020477815699659</v>
      </c>
      <c r="H9" s="20"/>
    </row>
    <row r="10" spans="1:8" s="175" customFormat="1" ht="15" customHeight="1">
      <c r="A10" s="3" t="s">
        <v>256</v>
      </c>
      <c r="B10" s="184">
        <f>B289</f>
        <v>154</v>
      </c>
      <c r="C10" s="189">
        <f>C289</f>
        <v>8.980555555555554</v>
      </c>
      <c r="D10" s="177">
        <f>D289</f>
        <v>12</v>
      </c>
      <c r="E10" s="189">
        <f>E289</f>
        <v>5.95</v>
      </c>
      <c r="F10" s="185">
        <f>F289</f>
        <v>166</v>
      </c>
      <c r="G10" s="194">
        <f t="shared" si="0"/>
        <v>9.442548350398178</v>
      </c>
      <c r="H10" s="20"/>
    </row>
    <row r="11" spans="1:7" s="175" customFormat="1" ht="15" customHeight="1">
      <c r="A11" s="3" t="s">
        <v>257</v>
      </c>
      <c r="B11" s="184">
        <f>B319</f>
        <v>107</v>
      </c>
      <c r="C11" s="189">
        <f>C319</f>
        <v>8.656470588235294</v>
      </c>
      <c r="D11" s="177">
        <f>D319</f>
        <v>27</v>
      </c>
      <c r="E11" s="189">
        <f>E319</f>
        <v>5.945625</v>
      </c>
      <c r="F11" s="185">
        <f>F319</f>
        <v>134</v>
      </c>
      <c r="G11" s="194">
        <f t="shared" si="0"/>
        <v>7.622298065984073</v>
      </c>
    </row>
    <row r="12" spans="1:7" s="175" customFormat="1" ht="15" customHeight="1">
      <c r="A12" s="3" t="s">
        <v>258</v>
      </c>
      <c r="B12" s="186">
        <f>B337</f>
        <v>63</v>
      </c>
      <c r="C12" s="190">
        <f>C337</f>
        <v>8.115925925925927</v>
      </c>
      <c r="D12" s="178">
        <f>D337</f>
        <v>12</v>
      </c>
      <c r="E12" s="190">
        <f>E337</f>
        <v>5.533333333333334</v>
      </c>
      <c r="F12" s="187">
        <f>F337</f>
        <v>75</v>
      </c>
      <c r="G12" s="195">
        <f t="shared" si="0"/>
        <v>4.266211604095563</v>
      </c>
    </row>
    <row r="13" spans="1:7" s="176" customFormat="1" ht="15" customHeight="1">
      <c r="A13" s="4" t="s">
        <v>259</v>
      </c>
      <c r="B13" s="179">
        <f>SUM(B4:B12)</f>
        <v>1555</v>
      </c>
      <c r="C13" s="191">
        <f>SUM(C4:C12)/9</f>
        <v>8.618254640818275</v>
      </c>
      <c r="D13" s="179">
        <f>SUM(D4:D12)</f>
        <v>203</v>
      </c>
      <c r="E13" s="191">
        <f>SUM(E4:E12)/9</f>
        <v>5.712136620932673</v>
      </c>
      <c r="F13" s="179">
        <f>SUM(F4:F12)</f>
        <v>1758</v>
      </c>
      <c r="G13" s="191">
        <f t="shared" si="0"/>
        <v>100</v>
      </c>
    </row>
    <row r="15" ht="12.75">
      <c r="A15" s="124" t="s">
        <v>25</v>
      </c>
    </row>
    <row r="16" ht="12.75">
      <c r="A16" s="124"/>
    </row>
    <row r="17" ht="12.75">
      <c r="A17" s="124"/>
    </row>
    <row r="18" ht="12.75">
      <c r="A18" s="124"/>
    </row>
    <row r="19" ht="12.75">
      <c r="A19" s="124"/>
    </row>
    <row r="20" ht="12.75">
      <c r="A20" s="124"/>
    </row>
    <row r="21" ht="12.75">
      <c r="A21" s="124"/>
    </row>
    <row r="22" ht="12.75">
      <c r="A22" s="124"/>
    </row>
    <row r="23" ht="12.75">
      <c r="A23" s="124"/>
    </row>
    <row r="24" ht="12.75">
      <c r="A24" s="124"/>
    </row>
    <row r="25" ht="12.75">
      <c r="A25" s="124"/>
    </row>
    <row r="26" ht="12.75">
      <c r="A26" s="124"/>
    </row>
    <row r="27" ht="12.75">
      <c r="A27" s="124"/>
    </row>
    <row r="28" ht="12.75">
      <c r="A28" s="124"/>
    </row>
    <row r="29" ht="12.75">
      <c r="A29" s="124"/>
    </row>
    <row r="30" spans="1:5" ht="12.75">
      <c r="A30" s="124"/>
      <c r="D30" t="s">
        <v>460</v>
      </c>
      <c r="E30" t="s">
        <v>6</v>
      </c>
    </row>
    <row r="31" spans="1:5" ht="12.75">
      <c r="A31" s="124"/>
      <c r="C31" s="64" t="s">
        <v>250</v>
      </c>
      <c r="D31" s="207">
        <f aca="true" t="shared" si="1" ref="D31:D39">B4</f>
        <v>91</v>
      </c>
      <c r="E31" s="207">
        <f aca="true" t="shared" si="2" ref="E31:E39">D4</f>
        <v>3</v>
      </c>
    </row>
    <row r="32" spans="1:5" ht="12.75">
      <c r="A32" s="124"/>
      <c r="C32" s="64" t="s">
        <v>251</v>
      </c>
      <c r="D32" s="207">
        <f t="shared" si="1"/>
        <v>122</v>
      </c>
      <c r="E32" s="207">
        <f t="shared" si="2"/>
        <v>20</v>
      </c>
    </row>
    <row r="33" spans="1:5" ht="12.75">
      <c r="A33" s="124"/>
      <c r="C33" s="64" t="s">
        <v>252</v>
      </c>
      <c r="D33" s="207">
        <f t="shared" si="1"/>
        <v>211</v>
      </c>
      <c r="E33" s="207">
        <f t="shared" si="2"/>
        <v>33</v>
      </c>
    </row>
    <row r="34" spans="1:5" ht="12.75">
      <c r="A34" s="124"/>
      <c r="C34" s="64" t="s">
        <v>253</v>
      </c>
      <c r="D34" s="207">
        <f t="shared" si="1"/>
        <v>260</v>
      </c>
      <c r="E34" s="207">
        <f t="shared" si="2"/>
        <v>42</v>
      </c>
    </row>
    <row r="35" spans="1:5" ht="12.75">
      <c r="A35" s="124"/>
      <c r="C35" s="64" t="s">
        <v>254</v>
      </c>
      <c r="D35" s="207">
        <f t="shared" si="1"/>
        <v>414</v>
      </c>
      <c r="E35" s="207">
        <f t="shared" si="2"/>
        <v>46</v>
      </c>
    </row>
    <row r="36" spans="1:5" ht="12.75">
      <c r="A36" s="124"/>
      <c r="C36" s="64" t="s">
        <v>255</v>
      </c>
      <c r="D36" s="207">
        <f t="shared" si="1"/>
        <v>133</v>
      </c>
      <c r="E36" s="207">
        <f t="shared" si="2"/>
        <v>8</v>
      </c>
    </row>
    <row r="37" spans="1:5" ht="12.75">
      <c r="A37" s="124"/>
      <c r="C37" s="64" t="s">
        <v>256</v>
      </c>
      <c r="D37" s="207">
        <f t="shared" si="1"/>
        <v>154</v>
      </c>
      <c r="E37" s="207">
        <f t="shared" si="2"/>
        <v>12</v>
      </c>
    </row>
    <row r="38" spans="1:5" ht="12.75">
      <c r="A38" s="124"/>
      <c r="C38" s="64" t="s">
        <v>257</v>
      </c>
      <c r="D38" s="207">
        <f t="shared" si="1"/>
        <v>107</v>
      </c>
      <c r="E38" s="207">
        <f t="shared" si="2"/>
        <v>27</v>
      </c>
    </row>
    <row r="39" spans="1:5" ht="12.75">
      <c r="A39" s="124"/>
      <c r="C39" s="64" t="s">
        <v>258</v>
      </c>
      <c r="D39" s="207">
        <f t="shared" si="1"/>
        <v>63</v>
      </c>
      <c r="E39" s="207">
        <f t="shared" si="2"/>
        <v>12</v>
      </c>
    </row>
    <row r="40" spans="1:4" ht="12.75">
      <c r="A40" s="124"/>
      <c r="D40" s="207"/>
    </row>
    <row r="41" ht="12.75">
      <c r="A41" s="124"/>
    </row>
    <row r="42" spans="1:6" ht="27" customHeight="1">
      <c r="A42" s="285" t="s">
        <v>272</v>
      </c>
      <c r="B42" s="285"/>
      <c r="C42" s="285"/>
      <c r="D42" s="285"/>
      <c r="E42" s="285"/>
      <c r="F42" s="285"/>
    </row>
    <row r="44" spans="1:7" s="11" customFormat="1" ht="60.75" customHeight="1">
      <c r="A44" s="24" t="s">
        <v>447</v>
      </c>
      <c r="B44" s="282" t="s">
        <v>49</v>
      </c>
      <c r="C44" s="282"/>
      <c r="D44" s="282"/>
      <c r="E44" s="282"/>
      <c r="F44" s="282"/>
      <c r="G44" s="122"/>
    </row>
    <row r="45" spans="1:6" s="11" customFormat="1" ht="39" customHeight="1">
      <c r="A45" s="283" t="s">
        <v>269</v>
      </c>
      <c r="B45" s="246" t="s">
        <v>460</v>
      </c>
      <c r="C45" s="246"/>
      <c r="D45" s="246" t="s">
        <v>461</v>
      </c>
      <c r="E45" s="246"/>
      <c r="F45" s="284" t="s">
        <v>439</v>
      </c>
    </row>
    <row r="46" spans="1:9" ht="24" customHeight="1">
      <c r="A46" s="283"/>
      <c r="B46" s="133" t="s">
        <v>438</v>
      </c>
      <c r="C46" s="133" t="s">
        <v>459</v>
      </c>
      <c r="D46" s="133" t="s">
        <v>438</v>
      </c>
      <c r="E46" s="133" t="s">
        <v>459</v>
      </c>
      <c r="F46" s="284"/>
      <c r="G46" s="122"/>
      <c r="I46" s="11"/>
    </row>
    <row r="47" spans="1:9" ht="18" customHeight="1">
      <c r="A47" s="165" t="s">
        <v>186</v>
      </c>
      <c r="B47" s="131">
        <v>2</v>
      </c>
      <c r="C47" s="146">
        <v>8</v>
      </c>
      <c r="D47" s="131">
        <v>0</v>
      </c>
      <c r="E47" s="146">
        <v>0</v>
      </c>
      <c r="F47" s="134">
        <v>2</v>
      </c>
      <c r="G47" s="122"/>
      <c r="I47" s="11"/>
    </row>
    <row r="48" spans="1:9" ht="18" customHeight="1">
      <c r="A48" s="127" t="s">
        <v>365</v>
      </c>
      <c r="B48" s="131">
        <v>2</v>
      </c>
      <c r="C48" s="146">
        <v>8</v>
      </c>
      <c r="D48" s="131">
        <v>0</v>
      </c>
      <c r="E48" s="146">
        <v>0</v>
      </c>
      <c r="F48" s="134">
        <v>2</v>
      </c>
      <c r="G48" s="122"/>
      <c r="I48" s="11"/>
    </row>
    <row r="49" spans="1:9" ht="18" customHeight="1">
      <c r="A49" s="127" t="s">
        <v>187</v>
      </c>
      <c r="B49" s="131">
        <v>3</v>
      </c>
      <c r="C49" s="146">
        <v>10</v>
      </c>
      <c r="D49" s="131">
        <v>0</v>
      </c>
      <c r="E49" s="146">
        <v>0</v>
      </c>
      <c r="F49" s="134">
        <v>3</v>
      </c>
      <c r="G49" s="122"/>
      <c r="I49" s="11"/>
    </row>
    <row r="50" spans="1:9" ht="18" customHeight="1">
      <c r="A50" s="127" t="s">
        <v>240</v>
      </c>
      <c r="B50" s="131">
        <v>1</v>
      </c>
      <c r="C50" s="146">
        <v>8</v>
      </c>
      <c r="D50" s="131">
        <v>0</v>
      </c>
      <c r="E50" s="146">
        <v>0</v>
      </c>
      <c r="F50" s="134">
        <v>1</v>
      </c>
      <c r="G50" s="122"/>
      <c r="I50" s="11"/>
    </row>
    <row r="51" spans="1:9" ht="18" customHeight="1">
      <c r="A51" s="127" t="s">
        <v>188</v>
      </c>
      <c r="B51" s="131">
        <v>1</v>
      </c>
      <c r="C51" s="146">
        <v>8.5</v>
      </c>
      <c r="D51" s="131">
        <v>0</v>
      </c>
      <c r="E51" s="146">
        <v>0</v>
      </c>
      <c r="F51" s="134">
        <v>1</v>
      </c>
      <c r="G51" s="122"/>
      <c r="I51" s="11"/>
    </row>
    <row r="52" spans="1:9" ht="18" customHeight="1">
      <c r="A52" s="127" t="s">
        <v>189</v>
      </c>
      <c r="B52" s="131">
        <v>4</v>
      </c>
      <c r="C52" s="146">
        <v>8</v>
      </c>
      <c r="D52" s="131">
        <v>0</v>
      </c>
      <c r="E52" s="146">
        <v>0</v>
      </c>
      <c r="F52" s="134">
        <v>4</v>
      </c>
      <c r="G52" s="122"/>
      <c r="I52" s="11"/>
    </row>
    <row r="53" spans="1:9" ht="18" customHeight="1">
      <c r="A53" s="127" t="s">
        <v>190</v>
      </c>
      <c r="B53" s="131">
        <v>4</v>
      </c>
      <c r="C53" s="146">
        <v>8.5</v>
      </c>
      <c r="D53" s="131">
        <v>0</v>
      </c>
      <c r="E53" s="146">
        <v>0</v>
      </c>
      <c r="F53" s="134">
        <v>4</v>
      </c>
      <c r="G53" s="122"/>
      <c r="I53" s="11"/>
    </row>
    <row r="54" spans="1:9" ht="18" customHeight="1">
      <c r="A54" s="127" t="s">
        <v>191</v>
      </c>
      <c r="B54" s="131">
        <v>3</v>
      </c>
      <c r="C54" s="146">
        <v>10</v>
      </c>
      <c r="D54" s="131">
        <v>0</v>
      </c>
      <c r="E54" s="146">
        <v>0</v>
      </c>
      <c r="F54" s="134">
        <v>3</v>
      </c>
      <c r="G54" s="122"/>
      <c r="I54" s="11"/>
    </row>
    <row r="55" spans="1:9" ht="18" customHeight="1">
      <c r="A55" s="127" t="s">
        <v>192</v>
      </c>
      <c r="B55" s="131">
        <v>1</v>
      </c>
      <c r="C55" s="146">
        <v>8.75</v>
      </c>
      <c r="D55" s="131">
        <v>0</v>
      </c>
      <c r="E55" s="146">
        <v>0</v>
      </c>
      <c r="F55" s="134">
        <v>1</v>
      </c>
      <c r="G55" s="122"/>
      <c r="I55" s="11"/>
    </row>
    <row r="56" spans="1:9" ht="18" customHeight="1">
      <c r="A56" s="127" t="s">
        <v>193</v>
      </c>
      <c r="B56" s="131">
        <v>2</v>
      </c>
      <c r="C56" s="146">
        <v>8</v>
      </c>
      <c r="D56" s="131">
        <v>0</v>
      </c>
      <c r="E56" s="146">
        <v>0</v>
      </c>
      <c r="F56" s="134">
        <v>2</v>
      </c>
      <c r="G56" s="122"/>
      <c r="I56" s="11"/>
    </row>
    <row r="57" spans="1:9" ht="18" customHeight="1">
      <c r="A57" s="127" t="s">
        <v>363</v>
      </c>
      <c r="B57" s="131">
        <v>1</v>
      </c>
      <c r="C57" s="146">
        <v>9.5</v>
      </c>
      <c r="D57" s="131">
        <v>0</v>
      </c>
      <c r="E57" s="146">
        <v>0</v>
      </c>
      <c r="F57" s="134">
        <v>1</v>
      </c>
      <c r="G57" s="122"/>
      <c r="I57" s="11"/>
    </row>
    <row r="58" spans="1:9" ht="18" customHeight="1">
      <c r="A58" s="127" t="s">
        <v>250</v>
      </c>
      <c r="B58" s="131">
        <v>49</v>
      </c>
      <c r="C58" s="146">
        <v>8.074074074074074</v>
      </c>
      <c r="D58" s="131">
        <v>3</v>
      </c>
      <c r="E58" s="146">
        <v>5.7</v>
      </c>
      <c r="F58" s="134">
        <v>52</v>
      </c>
      <c r="G58" s="122"/>
      <c r="I58" s="11"/>
    </row>
    <row r="59" spans="1:9" ht="18" customHeight="1">
      <c r="A59" s="127" t="s">
        <v>194</v>
      </c>
      <c r="B59" s="131">
        <v>3</v>
      </c>
      <c r="C59" s="146">
        <v>9</v>
      </c>
      <c r="D59" s="131">
        <v>0</v>
      </c>
      <c r="E59" s="146">
        <v>0</v>
      </c>
      <c r="F59" s="134">
        <v>3</v>
      </c>
      <c r="G59" s="122"/>
      <c r="I59" s="11"/>
    </row>
    <row r="60" spans="1:9" ht="18" customHeight="1">
      <c r="A60" s="127" t="s">
        <v>195</v>
      </c>
      <c r="B60" s="131">
        <v>3</v>
      </c>
      <c r="C60" s="146">
        <v>9</v>
      </c>
      <c r="D60" s="131">
        <v>0</v>
      </c>
      <c r="E60" s="146">
        <v>0</v>
      </c>
      <c r="F60" s="134">
        <v>3</v>
      </c>
      <c r="G60" s="122"/>
      <c r="I60" s="11"/>
    </row>
    <row r="61" spans="1:9" ht="18" customHeight="1">
      <c r="A61" s="127" t="s">
        <v>196</v>
      </c>
      <c r="B61" s="131">
        <v>7</v>
      </c>
      <c r="C61" s="146">
        <v>7.75</v>
      </c>
      <c r="D61" s="131">
        <v>0</v>
      </c>
      <c r="E61" s="146">
        <v>0</v>
      </c>
      <c r="F61" s="134">
        <v>7</v>
      </c>
      <c r="G61" s="122"/>
      <c r="I61" s="11"/>
    </row>
    <row r="62" spans="1:9" ht="18" customHeight="1">
      <c r="A62" s="127" t="s">
        <v>197</v>
      </c>
      <c r="B62" s="131">
        <v>1</v>
      </c>
      <c r="C62" s="146">
        <v>8.5</v>
      </c>
      <c r="D62" s="131">
        <v>0</v>
      </c>
      <c r="E62" s="146">
        <v>0</v>
      </c>
      <c r="F62" s="134">
        <v>1</v>
      </c>
      <c r="G62" s="122"/>
      <c r="I62" s="11"/>
    </row>
    <row r="63" spans="1:9" ht="18" customHeight="1">
      <c r="A63" s="127" t="s">
        <v>198</v>
      </c>
      <c r="B63" s="131">
        <v>3</v>
      </c>
      <c r="C63" s="146">
        <v>7.5</v>
      </c>
      <c r="D63" s="131">
        <v>0</v>
      </c>
      <c r="E63" s="146">
        <v>0</v>
      </c>
      <c r="F63" s="134">
        <v>3</v>
      </c>
      <c r="G63" s="122"/>
      <c r="I63" s="11"/>
    </row>
    <row r="64" spans="1:9" ht="18" customHeight="1">
      <c r="A64" s="127" t="s">
        <v>239</v>
      </c>
      <c r="B64" s="170">
        <v>1</v>
      </c>
      <c r="C64" s="220">
        <v>8</v>
      </c>
      <c r="D64" s="170">
        <v>0</v>
      </c>
      <c r="E64" s="220">
        <v>0</v>
      </c>
      <c r="F64" s="134">
        <v>1</v>
      </c>
      <c r="G64" s="122"/>
      <c r="I64" s="11"/>
    </row>
    <row r="65" spans="1:7" ht="28.5" customHeight="1">
      <c r="A65" s="30" t="s">
        <v>270</v>
      </c>
      <c r="B65" s="172">
        <f>SUM(B47:B64)</f>
        <v>91</v>
      </c>
      <c r="C65" s="221">
        <f>SUM(C47:C64)/18</f>
        <v>8.504115226337449</v>
      </c>
      <c r="D65" s="172">
        <f>SUM(D47:D64)</f>
        <v>3</v>
      </c>
      <c r="E65" s="221">
        <f>SUM(E47:E64)</f>
        <v>5.7</v>
      </c>
      <c r="F65" s="130">
        <f>SUM(F47:F64)</f>
        <v>94</v>
      </c>
      <c r="G65" s="122"/>
    </row>
    <row r="67" s="122" customFormat="1" ht="18" customHeight="1">
      <c r="A67" s="219" t="s">
        <v>51</v>
      </c>
    </row>
    <row r="68" s="122" customFormat="1" ht="19.5" customHeight="1">
      <c r="A68" s="219" t="s">
        <v>52</v>
      </c>
    </row>
    <row r="71" spans="1:7" s="11" customFormat="1" ht="60.75" customHeight="1">
      <c r="A71" s="24" t="s">
        <v>447</v>
      </c>
      <c r="B71" s="248" t="s">
        <v>50</v>
      </c>
      <c r="C71" s="249"/>
      <c r="D71" s="249"/>
      <c r="E71" s="249"/>
      <c r="F71" s="250"/>
      <c r="G71" s="25"/>
    </row>
    <row r="72" spans="1:6" s="11" customFormat="1" ht="39" customHeight="1">
      <c r="A72" s="283" t="s">
        <v>269</v>
      </c>
      <c r="B72" s="246" t="s">
        <v>460</v>
      </c>
      <c r="C72" s="246"/>
      <c r="D72" s="246" t="s">
        <v>461</v>
      </c>
      <c r="E72" s="246"/>
      <c r="F72" s="284" t="s">
        <v>439</v>
      </c>
    </row>
    <row r="73" spans="1:7" ht="24" customHeight="1">
      <c r="A73" s="283"/>
      <c r="B73" s="133" t="s">
        <v>438</v>
      </c>
      <c r="C73" s="133" t="s">
        <v>459</v>
      </c>
      <c r="D73" s="133" t="s">
        <v>438</v>
      </c>
      <c r="E73" s="133" t="s">
        <v>459</v>
      </c>
      <c r="F73" s="284"/>
      <c r="G73" s="122"/>
    </row>
    <row r="74" spans="1:7" ht="18" customHeight="1">
      <c r="A74" s="165" t="s">
        <v>199</v>
      </c>
      <c r="B74" s="131">
        <v>2</v>
      </c>
      <c r="C74" s="146">
        <v>8.5</v>
      </c>
      <c r="D74" s="131">
        <v>0</v>
      </c>
      <c r="E74" s="146">
        <v>0</v>
      </c>
      <c r="F74" s="134">
        <v>2</v>
      </c>
      <c r="G74" s="122"/>
    </row>
    <row r="75" spans="1:7" ht="18" customHeight="1">
      <c r="A75" s="127" t="s">
        <v>200</v>
      </c>
      <c r="B75" s="131">
        <v>4</v>
      </c>
      <c r="C75" s="146">
        <v>8.5</v>
      </c>
      <c r="D75" s="131">
        <v>0</v>
      </c>
      <c r="E75" s="146">
        <v>0</v>
      </c>
      <c r="F75" s="134">
        <v>4</v>
      </c>
      <c r="G75" s="122"/>
    </row>
    <row r="76" spans="1:7" ht="18" customHeight="1">
      <c r="A76" s="127" t="s">
        <v>201</v>
      </c>
      <c r="B76" s="131">
        <v>2</v>
      </c>
      <c r="C76" s="146">
        <v>8.5</v>
      </c>
      <c r="D76" s="131">
        <v>0</v>
      </c>
      <c r="E76" s="146">
        <v>0</v>
      </c>
      <c r="F76" s="134">
        <v>2</v>
      </c>
      <c r="G76" s="122"/>
    </row>
    <row r="77" spans="1:7" ht="18" customHeight="1">
      <c r="A77" s="127" t="s">
        <v>202</v>
      </c>
      <c r="B77" s="131">
        <v>4</v>
      </c>
      <c r="C77" s="146">
        <v>8.5</v>
      </c>
      <c r="D77" s="131">
        <v>0</v>
      </c>
      <c r="E77" s="146">
        <v>0</v>
      </c>
      <c r="F77" s="134">
        <v>4</v>
      </c>
      <c r="G77" s="122"/>
    </row>
    <row r="78" spans="1:7" ht="18" customHeight="1">
      <c r="A78" s="127" t="s">
        <v>203</v>
      </c>
      <c r="B78" s="131">
        <v>3</v>
      </c>
      <c r="C78" s="146">
        <v>9</v>
      </c>
      <c r="D78" s="131">
        <v>0</v>
      </c>
      <c r="E78" s="146">
        <v>0</v>
      </c>
      <c r="F78" s="134">
        <v>3</v>
      </c>
      <c r="G78" s="122"/>
    </row>
    <row r="79" spans="1:7" ht="18" customHeight="1">
      <c r="A79" s="127" t="s">
        <v>204</v>
      </c>
      <c r="B79" s="131">
        <v>4</v>
      </c>
      <c r="C79" s="146">
        <v>8</v>
      </c>
      <c r="D79" s="131">
        <v>0</v>
      </c>
      <c r="E79" s="146">
        <v>0</v>
      </c>
      <c r="F79" s="134">
        <v>4</v>
      </c>
      <c r="G79" s="122"/>
    </row>
    <row r="80" spans="1:7" ht="18" customHeight="1">
      <c r="A80" s="127" t="s">
        <v>205</v>
      </c>
      <c r="B80" s="131">
        <v>5</v>
      </c>
      <c r="C80" s="146">
        <v>8.25</v>
      </c>
      <c r="D80" s="131">
        <v>0</v>
      </c>
      <c r="E80" s="146">
        <v>0</v>
      </c>
      <c r="F80" s="134">
        <v>5</v>
      </c>
      <c r="G80" s="122"/>
    </row>
    <row r="81" spans="1:7" ht="18" customHeight="1">
      <c r="A81" s="127" t="s">
        <v>206</v>
      </c>
      <c r="B81" s="131">
        <v>2</v>
      </c>
      <c r="C81" s="146">
        <v>8</v>
      </c>
      <c r="D81" s="131">
        <v>0</v>
      </c>
      <c r="E81" s="146">
        <v>0</v>
      </c>
      <c r="F81" s="134">
        <v>2</v>
      </c>
      <c r="G81" s="122"/>
    </row>
    <row r="82" spans="1:7" ht="18" customHeight="1">
      <c r="A82" s="127" t="s">
        <v>207</v>
      </c>
      <c r="B82" s="131">
        <v>3</v>
      </c>
      <c r="C82" s="146">
        <v>8.5</v>
      </c>
      <c r="D82" s="131">
        <v>0</v>
      </c>
      <c r="E82" s="146">
        <v>0</v>
      </c>
      <c r="F82" s="134">
        <v>3</v>
      </c>
      <c r="G82" s="122"/>
    </row>
    <row r="83" spans="1:7" ht="18" customHeight="1">
      <c r="A83" s="127" t="s">
        <v>208</v>
      </c>
      <c r="B83" s="131">
        <v>3</v>
      </c>
      <c r="C83" s="146">
        <v>8.5</v>
      </c>
      <c r="D83" s="131">
        <v>1</v>
      </c>
      <c r="E83" s="146">
        <v>7.5</v>
      </c>
      <c r="F83" s="134">
        <v>4</v>
      </c>
      <c r="G83" s="122"/>
    </row>
    <row r="84" spans="1:7" ht="18" customHeight="1">
      <c r="A84" s="127" t="s">
        <v>209</v>
      </c>
      <c r="B84" s="131">
        <v>0</v>
      </c>
      <c r="C84" s="146">
        <v>0</v>
      </c>
      <c r="D84" s="131">
        <v>1</v>
      </c>
      <c r="E84" s="146">
        <v>7.5</v>
      </c>
      <c r="F84" s="134">
        <v>1</v>
      </c>
      <c r="G84" s="122"/>
    </row>
    <row r="85" spans="1:7" ht="18" customHeight="1">
      <c r="A85" s="127" t="s">
        <v>371</v>
      </c>
      <c r="B85" s="131">
        <v>1</v>
      </c>
      <c r="C85" s="146">
        <v>8</v>
      </c>
      <c r="D85" s="131">
        <v>0</v>
      </c>
      <c r="E85" s="146">
        <v>0</v>
      </c>
      <c r="F85" s="134">
        <v>1</v>
      </c>
      <c r="G85" s="122"/>
    </row>
    <row r="86" spans="1:7" ht="18" customHeight="1">
      <c r="A86" s="127" t="s">
        <v>210</v>
      </c>
      <c r="B86" s="131">
        <v>3</v>
      </c>
      <c r="C86" s="146">
        <v>8.5</v>
      </c>
      <c r="D86" s="131">
        <v>1</v>
      </c>
      <c r="E86" s="146">
        <v>6</v>
      </c>
      <c r="F86" s="134">
        <v>4</v>
      </c>
      <c r="G86" s="122"/>
    </row>
    <row r="87" spans="1:7" ht="18" customHeight="1">
      <c r="A87" s="127" t="s">
        <v>374</v>
      </c>
      <c r="B87" s="131">
        <v>0</v>
      </c>
      <c r="C87" s="146">
        <v>0</v>
      </c>
      <c r="D87" s="131">
        <v>2</v>
      </c>
      <c r="E87" s="146">
        <v>6.25</v>
      </c>
      <c r="F87" s="134">
        <v>2</v>
      </c>
      <c r="G87" s="122"/>
    </row>
    <row r="88" spans="1:7" ht="18" customHeight="1">
      <c r="A88" s="127" t="s">
        <v>211</v>
      </c>
      <c r="B88" s="131">
        <v>5</v>
      </c>
      <c r="C88" s="146">
        <v>8.666666666666666</v>
      </c>
      <c r="D88" s="131">
        <v>0</v>
      </c>
      <c r="E88" s="146">
        <v>0</v>
      </c>
      <c r="F88" s="134">
        <v>5</v>
      </c>
      <c r="G88" s="122"/>
    </row>
    <row r="89" spans="1:7" ht="18" customHeight="1">
      <c r="A89" s="127" t="s">
        <v>251</v>
      </c>
      <c r="B89" s="131">
        <v>61</v>
      </c>
      <c r="C89" s="146">
        <v>9.632142857142858</v>
      </c>
      <c r="D89" s="131">
        <v>15</v>
      </c>
      <c r="E89" s="146">
        <v>5.88</v>
      </c>
      <c r="F89" s="134">
        <v>76</v>
      </c>
      <c r="G89" s="122"/>
    </row>
    <row r="90" spans="1:7" ht="18" customHeight="1">
      <c r="A90" s="127" t="s">
        <v>212</v>
      </c>
      <c r="B90" s="131">
        <v>5</v>
      </c>
      <c r="C90" s="146">
        <v>8.75</v>
      </c>
      <c r="D90" s="131">
        <v>0</v>
      </c>
      <c r="E90" s="146">
        <v>0</v>
      </c>
      <c r="F90" s="134">
        <v>5</v>
      </c>
      <c r="G90" s="122"/>
    </row>
    <row r="91" spans="1:7" ht="18" customHeight="1">
      <c r="A91" s="127" t="s">
        <v>213</v>
      </c>
      <c r="B91" s="131">
        <v>2</v>
      </c>
      <c r="C91" s="146">
        <v>8</v>
      </c>
      <c r="D91" s="131">
        <v>0</v>
      </c>
      <c r="E91" s="146">
        <v>0</v>
      </c>
      <c r="F91" s="134">
        <v>2</v>
      </c>
      <c r="G91" s="122"/>
    </row>
    <row r="92" spans="1:7" ht="18" customHeight="1">
      <c r="A92" s="127" t="s">
        <v>214</v>
      </c>
      <c r="B92" s="131">
        <v>5</v>
      </c>
      <c r="C92" s="146">
        <v>8.5</v>
      </c>
      <c r="D92" s="131">
        <v>0</v>
      </c>
      <c r="E92" s="146">
        <v>0</v>
      </c>
      <c r="F92" s="134">
        <v>5</v>
      </c>
      <c r="G92" s="122"/>
    </row>
    <row r="93" spans="1:7" ht="18" customHeight="1">
      <c r="A93" s="127" t="s">
        <v>215</v>
      </c>
      <c r="B93" s="131">
        <v>2</v>
      </c>
      <c r="C93" s="146">
        <v>8</v>
      </c>
      <c r="D93" s="131">
        <v>0</v>
      </c>
      <c r="E93" s="146">
        <v>0</v>
      </c>
      <c r="F93" s="134">
        <v>2</v>
      </c>
      <c r="G93" s="122"/>
    </row>
    <row r="94" spans="1:7" ht="18" customHeight="1">
      <c r="A94" s="127" t="s">
        <v>216</v>
      </c>
      <c r="B94" s="131">
        <v>4</v>
      </c>
      <c r="C94" s="146">
        <v>8</v>
      </c>
      <c r="D94" s="131">
        <v>0</v>
      </c>
      <c r="E94" s="146">
        <v>0</v>
      </c>
      <c r="F94" s="134">
        <v>4</v>
      </c>
      <c r="G94" s="122"/>
    </row>
    <row r="95" spans="1:7" ht="18" customHeight="1">
      <c r="A95" s="127" t="s">
        <v>243</v>
      </c>
      <c r="B95" s="131">
        <v>2</v>
      </c>
      <c r="C95" s="146">
        <v>9</v>
      </c>
      <c r="D95" s="131">
        <v>0</v>
      </c>
      <c r="E95" s="146">
        <v>0</v>
      </c>
      <c r="F95" s="134">
        <v>2</v>
      </c>
      <c r="G95" s="122"/>
    </row>
    <row r="96" spans="1:7" ht="28.5" customHeight="1">
      <c r="A96" s="30" t="s">
        <v>271</v>
      </c>
      <c r="B96" s="172">
        <f>SUM(B74:B95)</f>
        <v>122</v>
      </c>
      <c r="C96" s="221">
        <f>SUM(C74:C95)/20</f>
        <v>8.464940476190476</v>
      </c>
      <c r="D96" s="172">
        <f>SUM(D74:D95)</f>
        <v>20</v>
      </c>
      <c r="E96" s="221">
        <f>SUM(E74:E95)/5</f>
        <v>6.626</v>
      </c>
      <c r="F96" s="130">
        <f>SUM(F74:F95)</f>
        <v>142</v>
      </c>
      <c r="G96" s="122"/>
    </row>
    <row r="98" spans="1:7" s="11" customFormat="1" ht="60.75" customHeight="1">
      <c r="A98" s="24" t="s">
        <v>447</v>
      </c>
      <c r="B98" s="282" t="s">
        <v>82</v>
      </c>
      <c r="C98" s="282"/>
      <c r="D98" s="282"/>
      <c r="E98" s="282"/>
      <c r="F98" s="282"/>
      <c r="G98" s="25"/>
    </row>
    <row r="99" spans="1:6" s="11" customFormat="1" ht="39" customHeight="1">
      <c r="A99" s="283" t="s">
        <v>269</v>
      </c>
      <c r="B99" s="246" t="s">
        <v>460</v>
      </c>
      <c r="C99" s="246"/>
      <c r="D99" s="246" t="s">
        <v>461</v>
      </c>
      <c r="E99" s="246"/>
      <c r="F99" s="284" t="s">
        <v>439</v>
      </c>
    </row>
    <row r="100" spans="1:9" ht="24" customHeight="1">
      <c r="A100" s="283"/>
      <c r="B100" s="133" t="s">
        <v>438</v>
      </c>
      <c r="C100" s="133" t="s">
        <v>459</v>
      </c>
      <c r="D100" s="133" t="s">
        <v>438</v>
      </c>
      <c r="E100" s="133" t="s">
        <v>459</v>
      </c>
      <c r="F100" s="284"/>
      <c r="G100" s="122"/>
      <c r="I100" s="11"/>
    </row>
    <row r="101" spans="1:9" ht="12.75">
      <c r="A101" s="218" t="s">
        <v>217</v>
      </c>
      <c r="B101" s="131">
        <v>4</v>
      </c>
      <c r="C101" s="146">
        <v>8</v>
      </c>
      <c r="D101" s="131">
        <v>1</v>
      </c>
      <c r="E101" s="146">
        <v>5.5</v>
      </c>
      <c r="F101" s="134">
        <v>5</v>
      </c>
      <c r="I101" s="11"/>
    </row>
    <row r="102" spans="1:9" ht="12.75">
      <c r="A102" s="127" t="s">
        <v>218</v>
      </c>
      <c r="B102" s="131">
        <v>6</v>
      </c>
      <c r="C102" s="146">
        <v>8.333333333333332</v>
      </c>
      <c r="D102" s="131">
        <v>0</v>
      </c>
      <c r="E102" s="146">
        <v>0</v>
      </c>
      <c r="F102" s="134">
        <v>6</v>
      </c>
      <c r="I102" s="11"/>
    </row>
    <row r="103" spans="1:9" ht="12.75">
      <c r="A103" s="127" t="s">
        <v>219</v>
      </c>
      <c r="B103" s="131">
        <v>2</v>
      </c>
      <c r="C103" s="146">
        <v>8.25</v>
      </c>
      <c r="D103" s="131">
        <v>0</v>
      </c>
      <c r="E103" s="146">
        <v>0</v>
      </c>
      <c r="F103" s="134">
        <v>2</v>
      </c>
      <c r="I103" s="11"/>
    </row>
    <row r="104" spans="1:9" ht="12.75">
      <c r="A104" s="127" t="s">
        <v>220</v>
      </c>
      <c r="B104" s="131">
        <v>3</v>
      </c>
      <c r="C104" s="146">
        <v>8.5</v>
      </c>
      <c r="D104" s="131">
        <v>0</v>
      </c>
      <c r="E104" s="146">
        <v>0</v>
      </c>
      <c r="F104" s="134">
        <v>3</v>
      </c>
      <c r="I104" s="11"/>
    </row>
    <row r="105" spans="1:9" ht="12.75">
      <c r="A105" s="127" t="s">
        <v>221</v>
      </c>
      <c r="B105" s="131">
        <v>3</v>
      </c>
      <c r="C105" s="146">
        <v>8</v>
      </c>
      <c r="D105" s="131">
        <v>0</v>
      </c>
      <c r="E105" s="146">
        <v>0</v>
      </c>
      <c r="F105" s="134">
        <v>3</v>
      </c>
      <c r="I105" s="11"/>
    </row>
    <row r="106" spans="1:9" ht="12.75">
      <c r="A106" s="127" t="s">
        <v>222</v>
      </c>
      <c r="B106" s="131">
        <v>4</v>
      </c>
      <c r="C106" s="146">
        <v>7.666666666666666</v>
      </c>
      <c r="D106" s="131">
        <v>0</v>
      </c>
      <c r="E106" s="146">
        <v>0</v>
      </c>
      <c r="F106" s="134">
        <v>4</v>
      </c>
      <c r="I106" s="11"/>
    </row>
    <row r="107" spans="1:9" ht="12.75">
      <c r="A107" s="127" t="s">
        <v>277</v>
      </c>
      <c r="B107" s="131">
        <v>3</v>
      </c>
      <c r="C107" s="146">
        <v>8.25</v>
      </c>
      <c r="D107" s="131">
        <v>0</v>
      </c>
      <c r="E107" s="146">
        <v>0</v>
      </c>
      <c r="F107" s="134">
        <v>3</v>
      </c>
      <c r="I107" s="11"/>
    </row>
    <row r="108" spans="1:9" ht="12.75">
      <c r="A108" s="127" t="s">
        <v>278</v>
      </c>
      <c r="B108" s="131">
        <v>1</v>
      </c>
      <c r="C108" s="146">
        <v>8</v>
      </c>
      <c r="D108" s="131">
        <v>0</v>
      </c>
      <c r="E108" s="146">
        <v>0</v>
      </c>
      <c r="F108" s="134">
        <v>1</v>
      </c>
      <c r="I108" s="11"/>
    </row>
    <row r="109" spans="1:9" ht="12.75">
      <c r="A109" s="127" t="s">
        <v>279</v>
      </c>
      <c r="B109" s="131">
        <v>7</v>
      </c>
      <c r="C109" s="146">
        <v>7.625</v>
      </c>
      <c r="D109" s="131">
        <v>1</v>
      </c>
      <c r="E109" s="146">
        <v>4</v>
      </c>
      <c r="F109" s="134">
        <v>8</v>
      </c>
      <c r="I109" s="11"/>
    </row>
    <row r="110" spans="1:9" ht="12.75">
      <c r="A110" s="127" t="s">
        <v>247</v>
      </c>
      <c r="B110" s="131">
        <v>2</v>
      </c>
      <c r="C110" s="146">
        <v>8</v>
      </c>
      <c r="D110" s="131">
        <v>0</v>
      </c>
      <c r="E110" s="146">
        <v>0</v>
      </c>
      <c r="F110" s="134">
        <v>2</v>
      </c>
      <c r="I110" s="11"/>
    </row>
    <row r="111" spans="1:9" ht="12.75">
      <c r="A111" s="127" t="s">
        <v>280</v>
      </c>
      <c r="B111" s="131">
        <v>4</v>
      </c>
      <c r="C111" s="146">
        <v>8</v>
      </c>
      <c r="D111" s="131">
        <v>1</v>
      </c>
      <c r="E111" s="146">
        <v>5.5</v>
      </c>
      <c r="F111" s="134">
        <v>5</v>
      </c>
      <c r="I111" s="11"/>
    </row>
    <row r="112" spans="1:9" ht="12.75">
      <c r="A112" s="127" t="s">
        <v>281</v>
      </c>
      <c r="B112" s="131">
        <v>1</v>
      </c>
      <c r="C112" s="146">
        <v>8</v>
      </c>
      <c r="D112" s="131">
        <v>1</v>
      </c>
      <c r="E112" s="146">
        <v>6</v>
      </c>
      <c r="F112" s="134">
        <v>2</v>
      </c>
      <c r="I112" s="11"/>
    </row>
    <row r="113" spans="1:9" ht="12.75">
      <c r="A113" s="127" t="s">
        <v>282</v>
      </c>
      <c r="B113" s="131">
        <v>4</v>
      </c>
      <c r="C113" s="146">
        <v>8.125</v>
      </c>
      <c r="D113" s="131">
        <v>0</v>
      </c>
      <c r="E113" s="146">
        <v>0</v>
      </c>
      <c r="F113" s="134">
        <v>4</v>
      </c>
      <c r="I113" s="11"/>
    </row>
    <row r="114" spans="1:9" ht="12.75">
      <c r="A114" s="127" t="s">
        <v>283</v>
      </c>
      <c r="B114" s="131">
        <v>3</v>
      </c>
      <c r="C114" s="146">
        <v>8</v>
      </c>
      <c r="D114" s="131">
        <v>1</v>
      </c>
      <c r="E114" s="146">
        <v>5.5</v>
      </c>
      <c r="F114" s="134">
        <v>4</v>
      </c>
      <c r="I114" s="11"/>
    </row>
    <row r="115" spans="1:9" ht="12.75">
      <c r="A115" s="127" t="s">
        <v>284</v>
      </c>
      <c r="B115" s="131">
        <v>11</v>
      </c>
      <c r="C115" s="146">
        <v>8.5</v>
      </c>
      <c r="D115" s="131">
        <v>4</v>
      </c>
      <c r="E115" s="146">
        <v>6</v>
      </c>
      <c r="F115" s="134">
        <v>15</v>
      </c>
      <c r="I115" s="11"/>
    </row>
    <row r="116" spans="1:9" ht="12.75">
      <c r="A116" s="127" t="s">
        <v>285</v>
      </c>
      <c r="B116" s="131">
        <v>2</v>
      </c>
      <c r="C116" s="146">
        <v>8</v>
      </c>
      <c r="D116" s="131">
        <v>0</v>
      </c>
      <c r="E116" s="146">
        <v>0</v>
      </c>
      <c r="F116" s="134">
        <v>2</v>
      </c>
      <c r="I116" s="11"/>
    </row>
    <row r="117" spans="1:9" ht="12.75">
      <c r="A117" s="127" t="s">
        <v>286</v>
      </c>
      <c r="B117" s="131">
        <v>2</v>
      </c>
      <c r="C117" s="146">
        <v>8</v>
      </c>
      <c r="D117" s="131">
        <v>0</v>
      </c>
      <c r="E117" s="146">
        <v>0</v>
      </c>
      <c r="F117" s="134">
        <v>2</v>
      </c>
      <c r="I117" s="11"/>
    </row>
    <row r="118" spans="1:9" ht="12.75">
      <c r="A118" s="127" t="s">
        <v>287</v>
      </c>
      <c r="B118" s="131">
        <v>2</v>
      </c>
      <c r="C118" s="146">
        <v>8</v>
      </c>
      <c r="D118" s="131">
        <v>0</v>
      </c>
      <c r="E118" s="146">
        <v>0</v>
      </c>
      <c r="F118" s="134">
        <v>2</v>
      </c>
      <c r="I118" s="11"/>
    </row>
    <row r="119" spans="1:9" ht="12.75">
      <c r="A119" s="127" t="s">
        <v>288</v>
      </c>
      <c r="B119" s="131">
        <v>8</v>
      </c>
      <c r="C119" s="146">
        <v>7.916666666666666</v>
      </c>
      <c r="D119" s="131">
        <v>2</v>
      </c>
      <c r="E119" s="146">
        <v>5</v>
      </c>
      <c r="F119" s="134">
        <v>10</v>
      </c>
      <c r="I119" s="11"/>
    </row>
    <row r="120" spans="1:9" ht="12.75">
      <c r="A120" s="127" t="s">
        <v>289</v>
      </c>
      <c r="B120" s="131">
        <v>3</v>
      </c>
      <c r="C120" s="146">
        <v>7.5</v>
      </c>
      <c r="D120" s="131">
        <v>0</v>
      </c>
      <c r="E120" s="146">
        <v>0</v>
      </c>
      <c r="F120" s="134">
        <v>3</v>
      </c>
      <c r="I120" s="11"/>
    </row>
    <row r="121" spans="1:9" ht="12.75">
      <c r="A121" s="127" t="s">
        <v>290</v>
      </c>
      <c r="B121" s="131">
        <v>3</v>
      </c>
      <c r="C121" s="146">
        <v>8.25</v>
      </c>
      <c r="D121" s="131">
        <v>0</v>
      </c>
      <c r="E121" s="146">
        <v>0</v>
      </c>
      <c r="F121" s="134">
        <v>3</v>
      </c>
      <c r="I121" s="11"/>
    </row>
    <row r="122" spans="1:9" ht="12.75">
      <c r="A122" s="127" t="s">
        <v>291</v>
      </c>
      <c r="B122" s="131">
        <v>7</v>
      </c>
      <c r="C122" s="146">
        <v>8.5</v>
      </c>
      <c r="D122" s="131">
        <v>0</v>
      </c>
      <c r="E122" s="146">
        <v>0</v>
      </c>
      <c r="F122" s="134">
        <v>7</v>
      </c>
      <c r="I122" s="11"/>
    </row>
    <row r="123" spans="1:9" ht="12.75">
      <c r="A123" s="127" t="s">
        <v>292</v>
      </c>
      <c r="B123" s="131">
        <v>3</v>
      </c>
      <c r="C123" s="146">
        <v>8</v>
      </c>
      <c r="D123" s="131">
        <v>1</v>
      </c>
      <c r="E123" s="146">
        <v>5</v>
      </c>
      <c r="F123" s="134">
        <v>4</v>
      </c>
      <c r="I123" s="11"/>
    </row>
    <row r="124" spans="1:9" ht="12.75">
      <c r="A124" s="127" t="s">
        <v>293</v>
      </c>
      <c r="B124" s="131">
        <v>6</v>
      </c>
      <c r="C124" s="146">
        <v>8</v>
      </c>
      <c r="D124" s="131">
        <v>0</v>
      </c>
      <c r="E124" s="146">
        <v>0</v>
      </c>
      <c r="F124" s="134">
        <v>6</v>
      </c>
      <c r="I124" s="11"/>
    </row>
    <row r="125" spans="1:9" ht="12.75">
      <c r="A125" s="127" t="s">
        <v>294</v>
      </c>
      <c r="B125" s="131">
        <v>83</v>
      </c>
      <c r="C125" s="146">
        <v>9.181547619047619</v>
      </c>
      <c r="D125" s="131">
        <v>12</v>
      </c>
      <c r="E125" s="146">
        <v>5</v>
      </c>
      <c r="F125" s="134">
        <v>95</v>
      </c>
      <c r="I125" s="11"/>
    </row>
    <row r="126" spans="1:9" ht="12.75">
      <c r="A126" s="127" t="s">
        <v>295</v>
      </c>
      <c r="B126" s="131">
        <v>4</v>
      </c>
      <c r="C126" s="146">
        <v>8.125</v>
      </c>
      <c r="D126" s="131">
        <v>1</v>
      </c>
      <c r="E126" s="146">
        <v>5</v>
      </c>
      <c r="F126" s="134">
        <v>5</v>
      </c>
      <c r="I126" s="11"/>
    </row>
    <row r="127" spans="1:9" ht="12.75">
      <c r="A127" s="127" t="s">
        <v>296</v>
      </c>
      <c r="B127" s="131">
        <v>2</v>
      </c>
      <c r="C127" s="146">
        <v>9</v>
      </c>
      <c r="D127" s="131">
        <v>0</v>
      </c>
      <c r="E127" s="146">
        <v>0</v>
      </c>
      <c r="F127" s="134">
        <v>2</v>
      </c>
      <c r="I127" s="11"/>
    </row>
    <row r="128" spans="1:9" ht="12.75">
      <c r="A128" s="127" t="s">
        <v>297</v>
      </c>
      <c r="B128" s="131">
        <v>2</v>
      </c>
      <c r="C128" s="146">
        <v>8</v>
      </c>
      <c r="D128" s="131">
        <v>1</v>
      </c>
      <c r="E128" s="146">
        <v>5.5</v>
      </c>
      <c r="F128" s="134">
        <v>3</v>
      </c>
      <c r="I128" s="11"/>
    </row>
    <row r="129" spans="1:9" ht="12.75">
      <c r="A129" s="127" t="s">
        <v>298</v>
      </c>
      <c r="B129" s="131">
        <v>4</v>
      </c>
      <c r="C129" s="146">
        <v>8.375</v>
      </c>
      <c r="D129" s="131">
        <v>2</v>
      </c>
      <c r="E129" s="146">
        <v>6</v>
      </c>
      <c r="F129" s="134">
        <v>6</v>
      </c>
      <c r="I129" s="11"/>
    </row>
    <row r="130" spans="1:9" ht="12.75">
      <c r="A130" s="127" t="s">
        <v>299</v>
      </c>
      <c r="B130" s="131">
        <v>4</v>
      </c>
      <c r="C130" s="146">
        <v>7.5</v>
      </c>
      <c r="D130" s="131">
        <v>2</v>
      </c>
      <c r="E130" s="146">
        <v>5.5</v>
      </c>
      <c r="F130" s="134">
        <v>6</v>
      </c>
      <c r="I130" s="11"/>
    </row>
    <row r="131" spans="1:9" ht="12.75">
      <c r="A131" s="127" t="s">
        <v>246</v>
      </c>
      <c r="B131" s="131">
        <v>3</v>
      </c>
      <c r="C131" s="146">
        <v>7.5</v>
      </c>
      <c r="D131" s="131">
        <v>0</v>
      </c>
      <c r="E131" s="146">
        <v>0</v>
      </c>
      <c r="F131" s="134">
        <v>3</v>
      </c>
      <c r="I131" s="11"/>
    </row>
    <row r="132" spans="1:9" ht="12.75">
      <c r="A132" s="127" t="s">
        <v>300</v>
      </c>
      <c r="B132" s="131">
        <v>4</v>
      </c>
      <c r="C132" s="146">
        <v>9.875</v>
      </c>
      <c r="D132" s="131">
        <v>0</v>
      </c>
      <c r="E132" s="146">
        <v>0</v>
      </c>
      <c r="F132" s="134">
        <v>4</v>
      </c>
      <c r="I132" s="11"/>
    </row>
    <row r="133" spans="1:9" ht="12.75">
      <c r="A133" s="127" t="s">
        <v>301</v>
      </c>
      <c r="B133" s="131">
        <v>6</v>
      </c>
      <c r="C133" s="146">
        <v>8</v>
      </c>
      <c r="D133" s="131">
        <v>3</v>
      </c>
      <c r="E133" s="146">
        <v>4.63</v>
      </c>
      <c r="F133" s="134">
        <v>9</v>
      </c>
      <c r="I133" s="11"/>
    </row>
    <row r="134" spans="1:9" ht="12.75">
      <c r="A134" s="127" t="s">
        <v>302</v>
      </c>
      <c r="B134" s="131">
        <v>2</v>
      </c>
      <c r="C134" s="146">
        <v>7.5</v>
      </c>
      <c r="D134" s="131">
        <v>0</v>
      </c>
      <c r="E134" s="146">
        <v>0</v>
      </c>
      <c r="F134" s="134">
        <v>2</v>
      </c>
      <c r="I134" s="11"/>
    </row>
    <row r="135" spans="1:9" ht="12.75">
      <c r="A135" s="127" t="s">
        <v>303</v>
      </c>
      <c r="B135" s="170">
        <v>3</v>
      </c>
      <c r="C135" s="220">
        <v>9.25</v>
      </c>
      <c r="D135" s="170">
        <v>0</v>
      </c>
      <c r="E135" s="220">
        <v>0</v>
      </c>
      <c r="F135" s="222">
        <v>3</v>
      </c>
      <c r="I135" s="11"/>
    </row>
    <row r="136" spans="1:7" ht="28.5" customHeight="1">
      <c r="A136" s="30" t="s">
        <v>223</v>
      </c>
      <c r="B136" s="172">
        <f>SUM(B101:B135)</f>
        <v>211</v>
      </c>
      <c r="C136" s="221">
        <f>SUM(C101:C135)/35</f>
        <v>8.163520408163265</v>
      </c>
      <c r="D136" s="172">
        <f>SUM(D101:D135)</f>
        <v>33</v>
      </c>
      <c r="E136" s="221">
        <f>SUM(E101:E135)/14</f>
        <v>5.295</v>
      </c>
      <c r="F136" s="130">
        <f>SUM(F101:F135)</f>
        <v>244</v>
      </c>
      <c r="G136" s="122"/>
    </row>
    <row r="138" ht="12.75">
      <c r="A138" t="s">
        <v>83</v>
      </c>
    </row>
    <row r="141" spans="1:7" s="11" customFormat="1" ht="60.75" customHeight="1">
      <c r="A141" s="24" t="s">
        <v>447</v>
      </c>
      <c r="B141" s="282" t="s">
        <v>84</v>
      </c>
      <c r="C141" s="282"/>
      <c r="D141" s="282"/>
      <c r="E141" s="282"/>
      <c r="F141" s="282"/>
      <c r="G141" s="25"/>
    </row>
    <row r="142" spans="1:6" s="11" customFormat="1" ht="39" customHeight="1">
      <c r="A142" s="283" t="s">
        <v>269</v>
      </c>
      <c r="B142" s="246" t="s">
        <v>460</v>
      </c>
      <c r="C142" s="246"/>
      <c r="D142" s="246" t="s">
        <v>461</v>
      </c>
      <c r="E142" s="246"/>
      <c r="F142" s="284" t="s">
        <v>439</v>
      </c>
    </row>
    <row r="143" spans="1:7" ht="24.75" customHeight="1">
      <c r="A143" s="283"/>
      <c r="B143" s="133" t="s">
        <v>438</v>
      </c>
      <c r="C143" s="133" t="s">
        <v>459</v>
      </c>
      <c r="D143" s="133" t="s">
        <v>438</v>
      </c>
      <c r="E143" s="133" t="s">
        <v>459</v>
      </c>
      <c r="F143" s="284"/>
      <c r="G143" s="122"/>
    </row>
    <row r="144" spans="1:7" ht="12.75">
      <c r="A144" s="218" t="s">
        <v>304</v>
      </c>
      <c r="B144" s="131">
        <v>3</v>
      </c>
      <c r="C144" s="146">
        <v>8.25</v>
      </c>
      <c r="D144" s="131">
        <v>0</v>
      </c>
      <c r="E144" s="146">
        <v>0</v>
      </c>
      <c r="F144" s="134">
        <v>3</v>
      </c>
      <c r="G144" s="122"/>
    </row>
    <row r="145" spans="1:7" ht="12.75">
      <c r="A145" s="127" t="s">
        <v>305</v>
      </c>
      <c r="B145" s="131">
        <v>3</v>
      </c>
      <c r="C145" s="146">
        <v>8</v>
      </c>
      <c r="D145" s="131">
        <v>1</v>
      </c>
      <c r="E145" s="146">
        <v>5</v>
      </c>
      <c r="F145" s="134">
        <v>4</v>
      </c>
      <c r="G145" s="122"/>
    </row>
    <row r="146" spans="1:7" ht="12.75">
      <c r="A146" s="127" t="s">
        <v>306</v>
      </c>
      <c r="B146" s="131">
        <v>4</v>
      </c>
      <c r="C146" s="146">
        <v>8.75</v>
      </c>
      <c r="D146" s="131">
        <v>1</v>
      </c>
      <c r="E146" s="146">
        <v>5.5</v>
      </c>
      <c r="F146" s="134">
        <v>5</v>
      </c>
      <c r="G146" s="122"/>
    </row>
    <row r="147" spans="1:7" ht="12.75">
      <c r="A147" s="127" t="s">
        <v>307</v>
      </c>
      <c r="B147" s="131">
        <v>27</v>
      </c>
      <c r="C147" s="146">
        <v>7.2</v>
      </c>
      <c r="D147" s="131">
        <v>2</v>
      </c>
      <c r="E147" s="146">
        <v>4</v>
      </c>
      <c r="F147" s="134">
        <v>29</v>
      </c>
      <c r="G147" s="122"/>
    </row>
    <row r="148" spans="1:7" ht="12.75">
      <c r="A148" s="127" t="s">
        <v>308</v>
      </c>
      <c r="B148" s="131">
        <v>13</v>
      </c>
      <c r="C148" s="146">
        <v>8.38</v>
      </c>
      <c r="D148" s="131">
        <v>3</v>
      </c>
      <c r="E148" s="146">
        <v>5.5</v>
      </c>
      <c r="F148" s="134">
        <v>16</v>
      </c>
      <c r="G148" s="122"/>
    </row>
    <row r="149" spans="1:7" ht="12.75">
      <c r="A149" s="127" t="s">
        <v>309</v>
      </c>
      <c r="B149" s="131">
        <v>5</v>
      </c>
      <c r="C149" s="146">
        <v>8.25</v>
      </c>
      <c r="D149" s="131">
        <v>1</v>
      </c>
      <c r="E149" s="146">
        <v>5.25</v>
      </c>
      <c r="F149" s="134">
        <v>6</v>
      </c>
      <c r="G149" s="122"/>
    </row>
    <row r="150" spans="1:7" ht="12.75">
      <c r="A150" s="127" t="s">
        <v>310</v>
      </c>
      <c r="B150" s="131">
        <v>5</v>
      </c>
      <c r="C150" s="146">
        <v>8.25</v>
      </c>
      <c r="D150" s="131">
        <v>0</v>
      </c>
      <c r="E150" s="146">
        <v>0</v>
      </c>
      <c r="F150" s="134">
        <v>5</v>
      </c>
      <c r="G150" s="122"/>
    </row>
    <row r="151" spans="1:7" ht="12.75">
      <c r="A151" s="127" t="s">
        <v>311</v>
      </c>
      <c r="B151" s="131">
        <v>4</v>
      </c>
      <c r="C151" s="146">
        <v>8.75</v>
      </c>
      <c r="D151" s="131">
        <v>1</v>
      </c>
      <c r="E151" s="146">
        <v>6</v>
      </c>
      <c r="F151" s="134">
        <v>5</v>
      </c>
      <c r="G151" s="122"/>
    </row>
    <row r="152" spans="1:7" ht="12.75">
      <c r="A152" s="127" t="s">
        <v>312</v>
      </c>
      <c r="B152" s="131">
        <v>3</v>
      </c>
      <c r="C152" s="146">
        <v>7.75</v>
      </c>
      <c r="D152" s="131">
        <v>0</v>
      </c>
      <c r="E152" s="146">
        <v>0</v>
      </c>
      <c r="F152" s="134">
        <v>3</v>
      </c>
      <c r="G152" s="122"/>
    </row>
    <row r="153" spans="1:7" ht="12.75">
      <c r="A153" s="127" t="s">
        <v>313</v>
      </c>
      <c r="B153" s="131">
        <v>7</v>
      </c>
      <c r="C153" s="146">
        <v>8.63</v>
      </c>
      <c r="D153" s="131">
        <v>0</v>
      </c>
      <c r="E153" s="146">
        <v>0</v>
      </c>
      <c r="F153" s="134">
        <v>7</v>
      </c>
      <c r="G153" s="122"/>
    </row>
    <row r="154" spans="1:7" ht="12.75">
      <c r="A154" s="127" t="s">
        <v>314</v>
      </c>
      <c r="B154" s="131">
        <v>5</v>
      </c>
      <c r="C154" s="146">
        <v>9</v>
      </c>
      <c r="D154" s="131">
        <v>1</v>
      </c>
      <c r="E154" s="146">
        <v>6</v>
      </c>
      <c r="F154" s="134">
        <v>6</v>
      </c>
      <c r="G154" s="122"/>
    </row>
    <row r="155" spans="1:7" ht="12.75">
      <c r="A155" s="127" t="s">
        <v>315</v>
      </c>
      <c r="B155" s="131">
        <v>11</v>
      </c>
      <c r="C155" s="146">
        <v>8.25</v>
      </c>
      <c r="D155" s="131">
        <v>3</v>
      </c>
      <c r="E155" s="146">
        <v>4.79</v>
      </c>
      <c r="F155" s="134">
        <v>14</v>
      </c>
      <c r="G155" s="122"/>
    </row>
    <row r="156" spans="1:7" ht="12.75">
      <c r="A156" s="127" t="s">
        <v>316</v>
      </c>
      <c r="B156" s="131">
        <v>0</v>
      </c>
      <c r="C156" s="146">
        <v>0</v>
      </c>
      <c r="D156" s="131">
        <v>1</v>
      </c>
      <c r="E156" s="146">
        <v>5.5</v>
      </c>
      <c r="F156" s="134">
        <v>1</v>
      </c>
      <c r="G156" s="122"/>
    </row>
    <row r="157" spans="1:7" ht="12.75">
      <c r="A157" s="127" t="s">
        <v>317</v>
      </c>
      <c r="B157" s="131">
        <v>1</v>
      </c>
      <c r="C157" s="146">
        <v>9</v>
      </c>
      <c r="D157" s="131">
        <v>0</v>
      </c>
      <c r="E157" s="146">
        <v>0</v>
      </c>
      <c r="F157" s="134">
        <v>1</v>
      </c>
      <c r="G157" s="122"/>
    </row>
    <row r="158" spans="1:7" ht="12.75">
      <c r="A158" s="127" t="s">
        <v>318</v>
      </c>
      <c r="B158" s="131">
        <v>7</v>
      </c>
      <c r="C158" s="146">
        <v>8.5</v>
      </c>
      <c r="D158" s="131">
        <v>1</v>
      </c>
      <c r="E158" s="146">
        <v>5</v>
      </c>
      <c r="F158" s="134">
        <v>8</v>
      </c>
      <c r="G158" s="122"/>
    </row>
    <row r="159" spans="1:7" ht="12.75">
      <c r="A159" s="127" t="s">
        <v>319</v>
      </c>
      <c r="B159" s="131">
        <v>1</v>
      </c>
      <c r="C159" s="146">
        <v>9</v>
      </c>
      <c r="D159" s="131">
        <v>1</v>
      </c>
      <c r="E159" s="146">
        <v>6</v>
      </c>
      <c r="F159" s="134">
        <v>2</v>
      </c>
      <c r="G159" s="122"/>
    </row>
    <row r="160" spans="1:7" ht="12.75">
      <c r="A160" s="127" t="s">
        <v>320</v>
      </c>
      <c r="B160" s="131">
        <v>3</v>
      </c>
      <c r="C160" s="146">
        <v>10.666666666666666</v>
      </c>
      <c r="D160" s="131">
        <v>0</v>
      </c>
      <c r="E160" s="146">
        <v>0</v>
      </c>
      <c r="F160" s="134">
        <v>3</v>
      </c>
      <c r="G160" s="122"/>
    </row>
    <row r="161" spans="1:7" ht="12.75">
      <c r="A161" s="127" t="s">
        <v>321</v>
      </c>
      <c r="B161" s="131">
        <v>8</v>
      </c>
      <c r="C161" s="146">
        <v>8.5</v>
      </c>
      <c r="D161" s="131">
        <v>1</v>
      </c>
      <c r="E161" s="146">
        <v>5.5</v>
      </c>
      <c r="F161" s="134">
        <v>9</v>
      </c>
      <c r="G161" s="122"/>
    </row>
    <row r="162" spans="1:7" ht="12.75">
      <c r="A162" s="127" t="s">
        <v>253</v>
      </c>
      <c r="B162" s="131">
        <v>81</v>
      </c>
      <c r="C162" s="146">
        <v>8.14</v>
      </c>
      <c r="D162" s="131">
        <v>14</v>
      </c>
      <c r="E162" s="146">
        <v>4.61</v>
      </c>
      <c r="F162" s="134">
        <v>95</v>
      </c>
      <c r="G162" s="122"/>
    </row>
    <row r="163" spans="1:7" ht="12.75">
      <c r="A163" s="127" t="s">
        <v>322</v>
      </c>
      <c r="B163" s="131">
        <v>5</v>
      </c>
      <c r="C163" s="146">
        <v>8.75</v>
      </c>
      <c r="D163" s="131">
        <v>0</v>
      </c>
      <c r="E163" s="146">
        <v>0</v>
      </c>
      <c r="F163" s="134">
        <v>5</v>
      </c>
      <c r="G163" s="122"/>
    </row>
    <row r="164" spans="1:7" ht="12.75">
      <c r="A164" s="127" t="s">
        <v>323</v>
      </c>
      <c r="B164" s="131">
        <v>4</v>
      </c>
      <c r="C164" s="146">
        <v>7.5</v>
      </c>
      <c r="D164" s="131">
        <v>0</v>
      </c>
      <c r="E164" s="146">
        <v>0</v>
      </c>
      <c r="F164" s="134">
        <v>4</v>
      </c>
      <c r="G164" s="122"/>
    </row>
    <row r="165" spans="1:7" ht="12.75">
      <c r="A165" s="127" t="s">
        <v>324</v>
      </c>
      <c r="B165" s="131">
        <v>4</v>
      </c>
      <c r="C165" s="146">
        <v>8</v>
      </c>
      <c r="D165" s="131">
        <v>2</v>
      </c>
      <c r="E165" s="146">
        <v>5</v>
      </c>
      <c r="F165" s="134">
        <v>6</v>
      </c>
      <c r="G165" s="122"/>
    </row>
    <row r="166" spans="1:7" ht="12.75">
      <c r="A166" s="165" t="s">
        <v>325</v>
      </c>
      <c r="B166" s="131">
        <v>3</v>
      </c>
      <c r="C166" s="146">
        <v>9</v>
      </c>
      <c r="D166" s="131">
        <v>0</v>
      </c>
      <c r="E166" s="146">
        <v>0</v>
      </c>
      <c r="F166" s="134">
        <v>3</v>
      </c>
      <c r="G166" s="122"/>
    </row>
    <row r="167" spans="1:7" ht="12.75">
      <c r="A167" s="165" t="s">
        <v>326</v>
      </c>
      <c r="B167" s="131">
        <v>2</v>
      </c>
      <c r="C167" s="146">
        <v>8</v>
      </c>
      <c r="D167" s="131">
        <v>1</v>
      </c>
      <c r="E167" s="146">
        <v>5</v>
      </c>
      <c r="F167" s="134">
        <v>3</v>
      </c>
      <c r="G167" s="122"/>
    </row>
    <row r="168" spans="1:7" ht="12.75">
      <c r="A168" s="165" t="s">
        <v>327</v>
      </c>
      <c r="B168" s="131">
        <v>3</v>
      </c>
      <c r="C168" s="146">
        <v>8.5</v>
      </c>
      <c r="D168" s="131">
        <v>0</v>
      </c>
      <c r="E168" s="146">
        <v>0</v>
      </c>
      <c r="F168" s="134">
        <v>3</v>
      </c>
      <c r="G168" s="122"/>
    </row>
    <row r="169" spans="1:7" ht="12.75">
      <c r="A169" s="127" t="s">
        <v>328</v>
      </c>
      <c r="B169" s="131">
        <v>2</v>
      </c>
      <c r="C169" s="146">
        <v>8</v>
      </c>
      <c r="D169" s="131">
        <v>0</v>
      </c>
      <c r="E169" s="146">
        <v>0</v>
      </c>
      <c r="F169" s="134">
        <v>2</v>
      </c>
      <c r="G169" s="122"/>
    </row>
    <row r="170" spans="1:7" ht="12.75">
      <c r="A170" s="127" t="s">
        <v>329</v>
      </c>
      <c r="B170" s="131">
        <v>3</v>
      </c>
      <c r="C170" s="146">
        <v>8</v>
      </c>
      <c r="D170" s="131">
        <v>0</v>
      </c>
      <c r="E170" s="146">
        <v>0</v>
      </c>
      <c r="F170" s="134">
        <v>3</v>
      </c>
      <c r="G170" s="122"/>
    </row>
    <row r="171" spans="1:7" ht="12.75">
      <c r="A171" s="127" t="s">
        <v>330</v>
      </c>
      <c r="B171" s="131">
        <v>19</v>
      </c>
      <c r="C171" s="146">
        <v>8.58</v>
      </c>
      <c r="D171" s="131">
        <v>1</v>
      </c>
      <c r="E171" s="146">
        <v>5.5</v>
      </c>
      <c r="F171" s="134">
        <v>20</v>
      </c>
      <c r="G171" s="122"/>
    </row>
    <row r="172" spans="1:7" ht="12.75">
      <c r="A172" s="127" t="s">
        <v>331</v>
      </c>
      <c r="B172" s="131">
        <v>2</v>
      </c>
      <c r="C172" s="146">
        <v>8</v>
      </c>
      <c r="D172" s="131">
        <v>1</v>
      </c>
      <c r="E172" s="146">
        <v>5</v>
      </c>
      <c r="F172" s="134">
        <v>3</v>
      </c>
      <c r="G172" s="122"/>
    </row>
    <row r="173" spans="1:7" ht="12.75">
      <c r="A173" s="127" t="s">
        <v>332</v>
      </c>
      <c r="B173" s="131">
        <v>10</v>
      </c>
      <c r="C173" s="146">
        <v>7</v>
      </c>
      <c r="D173" s="131">
        <v>0</v>
      </c>
      <c r="E173" s="146">
        <v>0</v>
      </c>
      <c r="F173" s="134">
        <v>10</v>
      </c>
      <c r="G173" s="122"/>
    </row>
    <row r="174" spans="1:7" ht="12.75">
      <c r="A174" s="127" t="s">
        <v>333</v>
      </c>
      <c r="B174" s="131">
        <v>2</v>
      </c>
      <c r="C174" s="146">
        <v>8.75</v>
      </c>
      <c r="D174" s="131">
        <v>2</v>
      </c>
      <c r="E174" s="146">
        <v>4.75</v>
      </c>
      <c r="F174" s="134">
        <v>4</v>
      </c>
      <c r="G174" s="122"/>
    </row>
    <row r="175" spans="1:7" ht="12.75">
      <c r="A175" s="127" t="s">
        <v>334</v>
      </c>
      <c r="B175" s="131">
        <v>9</v>
      </c>
      <c r="C175" s="146">
        <v>8.63</v>
      </c>
      <c r="D175" s="131">
        <v>4</v>
      </c>
      <c r="E175" s="146">
        <v>5.88</v>
      </c>
      <c r="F175" s="134">
        <v>13</v>
      </c>
      <c r="G175" s="122"/>
    </row>
    <row r="176" spans="1:7" ht="12.75">
      <c r="A176" s="127" t="s">
        <v>248</v>
      </c>
      <c r="B176" s="131">
        <v>1</v>
      </c>
      <c r="C176" s="146">
        <v>8</v>
      </c>
      <c r="D176" s="131">
        <v>0</v>
      </c>
      <c r="E176" s="146">
        <v>0</v>
      </c>
      <c r="F176" s="134">
        <v>1</v>
      </c>
      <c r="G176" s="122"/>
    </row>
    <row r="177" spans="1:7" ht="28.5" customHeight="1">
      <c r="A177" s="30" t="s">
        <v>224</v>
      </c>
      <c r="B177" s="172">
        <f>SUM(B144:B176)</f>
        <v>260</v>
      </c>
      <c r="C177" s="221">
        <f>SUM(C144:C176)/32</f>
        <v>8.374270833333334</v>
      </c>
      <c r="D177" s="172">
        <f>SUM(D144:D176)</f>
        <v>42</v>
      </c>
      <c r="E177" s="221">
        <f>SUM(E144:E176)/19</f>
        <v>5.2515789473684205</v>
      </c>
      <c r="F177" s="130">
        <f>SUM(F144:F176)</f>
        <v>302</v>
      </c>
      <c r="G177" s="122"/>
    </row>
    <row r="178" ht="12.75">
      <c r="G178" s="122"/>
    </row>
    <row r="179" spans="1:7" ht="12.75">
      <c r="A179" t="s">
        <v>83</v>
      </c>
      <c r="G179" s="122"/>
    </row>
    <row r="180" ht="12.75">
      <c r="G180" s="122"/>
    </row>
    <row r="182" spans="1:7" s="11" customFormat="1" ht="60.75" customHeight="1">
      <c r="A182" s="24" t="s">
        <v>447</v>
      </c>
      <c r="B182" s="248" t="s">
        <v>90</v>
      </c>
      <c r="C182" s="249"/>
      <c r="D182" s="249"/>
      <c r="E182" s="249"/>
      <c r="F182" s="250"/>
      <c r="G182" s="25"/>
    </row>
    <row r="183" spans="1:6" s="11" customFormat="1" ht="39" customHeight="1">
      <c r="A183" s="276" t="s">
        <v>269</v>
      </c>
      <c r="B183" s="278" t="s">
        <v>460</v>
      </c>
      <c r="C183" s="279"/>
      <c r="D183" s="278" t="s">
        <v>461</v>
      </c>
      <c r="E183" s="279"/>
      <c r="F183" s="280" t="s">
        <v>439</v>
      </c>
    </row>
    <row r="184" spans="1:7" ht="24.75" customHeight="1">
      <c r="A184" s="277"/>
      <c r="B184" s="132" t="s">
        <v>438</v>
      </c>
      <c r="C184" s="133" t="s">
        <v>459</v>
      </c>
      <c r="D184" s="132" t="s">
        <v>438</v>
      </c>
      <c r="E184" s="133" t="s">
        <v>459</v>
      </c>
      <c r="F184" s="281"/>
      <c r="G184" s="122"/>
    </row>
    <row r="185" spans="1:6" ht="12.75">
      <c r="A185" s="127" t="s">
        <v>130</v>
      </c>
      <c r="B185" s="131">
        <v>7</v>
      </c>
      <c r="C185" s="146">
        <v>9.833333333333332</v>
      </c>
      <c r="D185" s="131">
        <v>0</v>
      </c>
      <c r="E185" s="146">
        <v>0</v>
      </c>
      <c r="F185" s="134">
        <v>7</v>
      </c>
    </row>
    <row r="186" spans="1:6" ht="12.75">
      <c r="A186" s="127" t="s">
        <v>129</v>
      </c>
      <c r="B186" s="131">
        <v>9</v>
      </c>
      <c r="C186" s="146">
        <v>9</v>
      </c>
      <c r="D186" s="131">
        <v>0</v>
      </c>
      <c r="E186" s="146">
        <v>0</v>
      </c>
      <c r="F186" s="134">
        <v>9</v>
      </c>
    </row>
    <row r="187" spans="1:6" ht="12.75">
      <c r="A187" s="127" t="s">
        <v>128</v>
      </c>
      <c r="B187" s="131">
        <v>2</v>
      </c>
      <c r="C187" s="146">
        <v>9</v>
      </c>
      <c r="D187" s="131">
        <v>2</v>
      </c>
      <c r="E187" s="146">
        <v>6</v>
      </c>
      <c r="F187" s="134">
        <v>4</v>
      </c>
    </row>
    <row r="188" spans="1:6" ht="12.75">
      <c r="A188" s="127" t="s">
        <v>127</v>
      </c>
      <c r="B188" s="131">
        <v>3</v>
      </c>
      <c r="C188" s="146">
        <v>9.5</v>
      </c>
      <c r="D188" s="131">
        <v>0</v>
      </c>
      <c r="E188" s="146">
        <v>0</v>
      </c>
      <c r="F188" s="134">
        <v>3</v>
      </c>
    </row>
    <row r="189" spans="1:6" ht="12.75">
      <c r="A189" s="127" t="s">
        <v>126</v>
      </c>
      <c r="B189" s="131">
        <v>3</v>
      </c>
      <c r="C189" s="146">
        <v>7.5</v>
      </c>
      <c r="D189" s="131">
        <v>0</v>
      </c>
      <c r="E189" s="146">
        <v>0</v>
      </c>
      <c r="F189" s="134">
        <v>3</v>
      </c>
    </row>
    <row r="190" spans="1:6" ht="12.75">
      <c r="A190" s="127" t="s">
        <v>254</v>
      </c>
      <c r="B190" s="131">
        <v>165</v>
      </c>
      <c r="C190" s="146">
        <v>9.95</v>
      </c>
      <c r="D190" s="131">
        <v>7</v>
      </c>
      <c r="E190" s="146">
        <v>5.75</v>
      </c>
      <c r="F190" s="134">
        <v>172</v>
      </c>
    </row>
    <row r="191" spans="1:6" ht="12.75">
      <c r="A191" s="127" t="s">
        <v>125</v>
      </c>
      <c r="B191" s="131">
        <v>1</v>
      </c>
      <c r="C191" s="146">
        <v>9.5</v>
      </c>
      <c r="D191" s="131">
        <v>1</v>
      </c>
      <c r="E191" s="146">
        <v>5</v>
      </c>
      <c r="F191" s="134">
        <v>2</v>
      </c>
    </row>
    <row r="192" spans="1:6" ht="12.75">
      <c r="A192" s="127" t="s">
        <v>124</v>
      </c>
      <c r="B192" s="131">
        <v>6</v>
      </c>
      <c r="C192" s="146">
        <v>9</v>
      </c>
      <c r="D192" s="131">
        <v>0</v>
      </c>
      <c r="E192" s="146">
        <v>0</v>
      </c>
      <c r="F192" s="134">
        <v>6</v>
      </c>
    </row>
    <row r="193" spans="1:6" ht="12.75">
      <c r="A193" s="127" t="s">
        <v>123</v>
      </c>
      <c r="B193" s="131">
        <v>7</v>
      </c>
      <c r="C193" s="146">
        <v>8.92</v>
      </c>
      <c r="D193" s="131">
        <v>1</v>
      </c>
      <c r="E193" s="146">
        <v>7</v>
      </c>
      <c r="F193" s="134">
        <v>8</v>
      </c>
    </row>
    <row r="194" spans="1:6" ht="12.75">
      <c r="A194" s="127" t="s">
        <v>122</v>
      </c>
      <c r="B194" s="131">
        <v>17</v>
      </c>
      <c r="C194" s="146">
        <v>9</v>
      </c>
      <c r="D194" s="131">
        <v>2</v>
      </c>
      <c r="E194" s="146">
        <v>6</v>
      </c>
      <c r="F194" s="134">
        <v>19</v>
      </c>
    </row>
    <row r="195" spans="1:6" ht="12.75">
      <c r="A195" s="127" t="s">
        <v>135</v>
      </c>
      <c r="B195" s="131">
        <v>1</v>
      </c>
      <c r="C195" s="146">
        <v>9</v>
      </c>
      <c r="D195" s="131">
        <v>0</v>
      </c>
      <c r="E195" s="146">
        <v>0</v>
      </c>
      <c r="F195" s="134">
        <v>1</v>
      </c>
    </row>
    <row r="196" spans="1:6" ht="12.75">
      <c r="A196" s="127" t="s">
        <v>121</v>
      </c>
      <c r="B196" s="131">
        <v>10</v>
      </c>
      <c r="C196" s="146">
        <v>10.31</v>
      </c>
      <c r="D196" s="131">
        <v>1</v>
      </c>
      <c r="E196" s="146">
        <v>9.25</v>
      </c>
      <c r="F196" s="134">
        <v>11</v>
      </c>
    </row>
    <row r="197" spans="1:6" ht="12.75">
      <c r="A197" s="127" t="s">
        <v>120</v>
      </c>
      <c r="B197" s="131">
        <v>11</v>
      </c>
      <c r="C197" s="146">
        <v>8.75</v>
      </c>
      <c r="D197" s="131">
        <v>1</v>
      </c>
      <c r="E197" s="146">
        <v>7</v>
      </c>
      <c r="F197" s="134">
        <v>12</v>
      </c>
    </row>
    <row r="198" spans="1:6" ht="12.75">
      <c r="A198" s="127" t="s">
        <v>119</v>
      </c>
      <c r="B198" s="131">
        <v>2</v>
      </c>
      <c r="C198" s="146">
        <v>8</v>
      </c>
      <c r="D198" s="131">
        <v>1</v>
      </c>
      <c r="E198" s="146">
        <v>5</v>
      </c>
      <c r="F198" s="134">
        <v>3</v>
      </c>
    </row>
    <row r="199" spans="1:6" ht="12.75">
      <c r="A199" s="127" t="s">
        <v>136</v>
      </c>
      <c r="B199" s="131">
        <v>1</v>
      </c>
      <c r="C199" s="146">
        <v>9</v>
      </c>
      <c r="D199" s="131">
        <v>0</v>
      </c>
      <c r="E199" s="146">
        <v>0</v>
      </c>
      <c r="F199" s="134">
        <v>1</v>
      </c>
    </row>
    <row r="200" spans="1:6" ht="12.75">
      <c r="A200" s="127" t="s">
        <v>335</v>
      </c>
      <c r="B200" s="131">
        <v>6</v>
      </c>
      <c r="C200" s="146">
        <v>8.75</v>
      </c>
      <c r="D200" s="131">
        <v>3</v>
      </c>
      <c r="E200" s="146">
        <v>5.38</v>
      </c>
      <c r="F200" s="134">
        <v>9</v>
      </c>
    </row>
    <row r="201" spans="1:6" ht="12.75">
      <c r="A201" s="127" t="s">
        <v>134</v>
      </c>
      <c r="B201" s="131">
        <v>0</v>
      </c>
      <c r="C201" s="146">
        <v>0</v>
      </c>
      <c r="D201" s="131">
        <v>1</v>
      </c>
      <c r="E201" s="146">
        <v>6</v>
      </c>
      <c r="F201" s="134">
        <v>1</v>
      </c>
    </row>
    <row r="202" spans="1:6" ht="12.75">
      <c r="A202" s="127" t="s">
        <v>118</v>
      </c>
      <c r="B202" s="131">
        <v>4</v>
      </c>
      <c r="C202" s="146">
        <v>10</v>
      </c>
      <c r="D202" s="131">
        <v>1</v>
      </c>
      <c r="E202" s="146">
        <v>6</v>
      </c>
      <c r="F202" s="134">
        <v>5</v>
      </c>
    </row>
    <row r="203" spans="1:6" ht="12.75">
      <c r="A203" s="127" t="s">
        <v>117</v>
      </c>
      <c r="B203" s="131">
        <v>4</v>
      </c>
      <c r="C203" s="146">
        <v>8</v>
      </c>
      <c r="D203" s="131">
        <v>0</v>
      </c>
      <c r="E203" s="146">
        <v>0</v>
      </c>
      <c r="F203" s="134">
        <v>4</v>
      </c>
    </row>
    <row r="204" spans="1:6" ht="12.75">
      <c r="A204" s="127" t="s">
        <v>116</v>
      </c>
      <c r="B204" s="131">
        <v>3</v>
      </c>
      <c r="C204" s="146">
        <v>9</v>
      </c>
      <c r="D204" s="131">
        <v>1</v>
      </c>
      <c r="E204" s="146">
        <v>6</v>
      </c>
      <c r="F204" s="134">
        <v>4</v>
      </c>
    </row>
    <row r="205" spans="1:6" ht="12.75">
      <c r="A205" s="127" t="s">
        <v>115</v>
      </c>
      <c r="B205" s="131">
        <v>2</v>
      </c>
      <c r="C205" s="146">
        <v>9</v>
      </c>
      <c r="D205" s="131">
        <v>0</v>
      </c>
      <c r="E205" s="146">
        <v>0</v>
      </c>
      <c r="F205" s="134">
        <v>2</v>
      </c>
    </row>
    <row r="206" spans="1:6" ht="12.75">
      <c r="A206" s="127" t="s">
        <v>114</v>
      </c>
      <c r="B206" s="131">
        <v>6</v>
      </c>
      <c r="C206" s="146">
        <v>10.25</v>
      </c>
      <c r="D206" s="131">
        <v>1</v>
      </c>
      <c r="E206" s="146">
        <v>6</v>
      </c>
      <c r="F206" s="134">
        <v>7</v>
      </c>
    </row>
    <row r="207" spans="1:6" ht="12.75">
      <c r="A207" s="127" t="s">
        <v>113</v>
      </c>
      <c r="B207" s="131">
        <v>1</v>
      </c>
      <c r="C207" s="146">
        <v>9</v>
      </c>
      <c r="D207" s="131">
        <v>0</v>
      </c>
      <c r="E207" s="146">
        <v>0</v>
      </c>
      <c r="F207" s="134">
        <v>1</v>
      </c>
    </row>
    <row r="208" spans="1:6" ht="12.75">
      <c r="A208" s="127" t="s">
        <v>336</v>
      </c>
      <c r="B208" s="131">
        <v>24</v>
      </c>
      <c r="C208" s="146">
        <v>10.17</v>
      </c>
      <c r="D208" s="131">
        <v>4</v>
      </c>
      <c r="E208" s="146">
        <v>6.75</v>
      </c>
      <c r="F208" s="134">
        <v>28</v>
      </c>
    </row>
    <row r="209" spans="1:6" ht="12.75">
      <c r="A209" s="127" t="s">
        <v>355</v>
      </c>
      <c r="B209" s="131">
        <v>0</v>
      </c>
      <c r="C209" s="146">
        <v>0</v>
      </c>
      <c r="D209" s="131">
        <v>1</v>
      </c>
      <c r="E209" s="146">
        <v>6.5</v>
      </c>
      <c r="F209" s="134">
        <v>1</v>
      </c>
    </row>
    <row r="210" spans="1:6" ht="12.75">
      <c r="A210" s="127" t="s">
        <v>112</v>
      </c>
      <c r="B210" s="131">
        <v>4</v>
      </c>
      <c r="C210" s="146">
        <v>9</v>
      </c>
      <c r="D210" s="131">
        <v>0</v>
      </c>
      <c r="E210" s="146">
        <v>0</v>
      </c>
      <c r="F210" s="134">
        <v>4</v>
      </c>
    </row>
    <row r="211" spans="1:6" ht="12.75">
      <c r="A211" s="127" t="s">
        <v>133</v>
      </c>
      <c r="B211" s="131">
        <v>2</v>
      </c>
      <c r="C211" s="146">
        <v>9</v>
      </c>
      <c r="D211" s="131">
        <v>1</v>
      </c>
      <c r="E211" s="146">
        <v>6</v>
      </c>
      <c r="F211" s="134">
        <v>3</v>
      </c>
    </row>
    <row r="212" spans="1:6" ht="12.75">
      <c r="A212" s="127" t="s">
        <v>111</v>
      </c>
      <c r="B212" s="131">
        <v>8</v>
      </c>
      <c r="C212" s="146">
        <v>10.5</v>
      </c>
      <c r="D212" s="131">
        <v>0</v>
      </c>
      <c r="E212" s="146">
        <v>0</v>
      </c>
      <c r="F212" s="134">
        <v>8</v>
      </c>
    </row>
    <row r="213" spans="1:6" ht="12.75">
      <c r="A213" s="127" t="s">
        <v>110</v>
      </c>
      <c r="B213" s="131">
        <v>2</v>
      </c>
      <c r="C213" s="146">
        <v>9</v>
      </c>
      <c r="D213" s="131">
        <v>2</v>
      </c>
      <c r="E213" s="146">
        <v>6</v>
      </c>
      <c r="F213" s="134">
        <v>4</v>
      </c>
    </row>
    <row r="214" spans="1:6" ht="12.75">
      <c r="A214" s="127" t="s">
        <v>109</v>
      </c>
      <c r="B214" s="131">
        <v>9</v>
      </c>
      <c r="C214" s="146">
        <v>9</v>
      </c>
      <c r="D214" s="131">
        <v>1</v>
      </c>
      <c r="E214" s="146">
        <v>6</v>
      </c>
      <c r="F214" s="134">
        <v>10</v>
      </c>
    </row>
    <row r="215" spans="1:6" ht="12.75">
      <c r="A215" s="127" t="s">
        <v>132</v>
      </c>
      <c r="B215" s="131">
        <v>5</v>
      </c>
      <c r="C215" s="146">
        <v>10</v>
      </c>
      <c r="D215" s="131">
        <v>0</v>
      </c>
      <c r="E215" s="146">
        <v>0</v>
      </c>
      <c r="F215" s="134">
        <v>5</v>
      </c>
    </row>
    <row r="216" spans="1:6" ht="12.75">
      <c r="A216" s="127" t="s">
        <v>108</v>
      </c>
      <c r="B216" s="131">
        <v>1</v>
      </c>
      <c r="C216" s="146">
        <v>10.5</v>
      </c>
      <c r="D216" s="131">
        <v>0</v>
      </c>
      <c r="E216" s="146">
        <v>0</v>
      </c>
      <c r="F216" s="134">
        <v>1</v>
      </c>
    </row>
    <row r="217" spans="1:6" ht="12.75">
      <c r="A217" s="127" t="s">
        <v>107</v>
      </c>
      <c r="B217" s="131">
        <v>3</v>
      </c>
      <c r="C217" s="146">
        <v>10</v>
      </c>
      <c r="D217" s="131">
        <v>0</v>
      </c>
      <c r="E217" s="146">
        <v>0</v>
      </c>
      <c r="F217" s="134">
        <v>3</v>
      </c>
    </row>
    <row r="218" spans="1:6" ht="12.75">
      <c r="A218" s="127" t="s">
        <v>131</v>
      </c>
      <c r="B218" s="131">
        <v>2</v>
      </c>
      <c r="C218" s="146">
        <v>9</v>
      </c>
      <c r="D218" s="131">
        <v>0</v>
      </c>
      <c r="E218" s="146">
        <v>0</v>
      </c>
      <c r="F218" s="134">
        <v>2</v>
      </c>
    </row>
    <row r="219" spans="1:6" ht="12.75">
      <c r="A219" s="127" t="s">
        <v>106</v>
      </c>
      <c r="B219" s="131">
        <v>2</v>
      </c>
      <c r="C219" s="146">
        <v>10.75</v>
      </c>
      <c r="D219" s="131">
        <v>0</v>
      </c>
      <c r="E219" s="146">
        <v>0</v>
      </c>
      <c r="F219" s="134">
        <v>2</v>
      </c>
    </row>
    <row r="220" spans="1:6" ht="12.75">
      <c r="A220" s="127" t="s">
        <v>105</v>
      </c>
      <c r="B220" s="131">
        <v>6</v>
      </c>
      <c r="C220" s="146">
        <v>9.333333333333334</v>
      </c>
      <c r="D220" s="131">
        <v>1</v>
      </c>
      <c r="E220" s="146">
        <v>6</v>
      </c>
      <c r="F220" s="134">
        <v>7</v>
      </c>
    </row>
    <row r="221" spans="1:6" ht="12.75">
      <c r="A221" s="127" t="s">
        <v>104</v>
      </c>
      <c r="B221" s="131">
        <v>8</v>
      </c>
      <c r="C221" s="146">
        <v>10</v>
      </c>
      <c r="D221" s="131">
        <v>1</v>
      </c>
      <c r="E221" s="146">
        <v>6.5</v>
      </c>
      <c r="F221" s="134">
        <v>9</v>
      </c>
    </row>
    <row r="222" spans="1:6" ht="12.75">
      <c r="A222" s="127" t="s">
        <v>103</v>
      </c>
      <c r="B222" s="131">
        <v>2</v>
      </c>
      <c r="C222" s="146">
        <v>10</v>
      </c>
      <c r="D222" s="131">
        <v>0</v>
      </c>
      <c r="E222" s="146">
        <v>0</v>
      </c>
      <c r="F222" s="134">
        <v>2</v>
      </c>
    </row>
    <row r="223" spans="1:6" ht="12.75">
      <c r="A223" s="127" t="s">
        <v>102</v>
      </c>
      <c r="B223" s="131">
        <v>2</v>
      </c>
      <c r="C223" s="146">
        <v>9.5</v>
      </c>
      <c r="D223" s="131">
        <v>0</v>
      </c>
      <c r="E223" s="146">
        <v>0</v>
      </c>
      <c r="F223" s="134">
        <v>2</v>
      </c>
    </row>
    <row r="224" spans="1:7" s="11" customFormat="1" ht="60.75" customHeight="1">
      <c r="A224" s="24" t="s">
        <v>447</v>
      </c>
      <c r="B224" s="248" t="s">
        <v>90</v>
      </c>
      <c r="C224" s="249"/>
      <c r="D224" s="249"/>
      <c r="E224" s="249"/>
      <c r="F224" s="250"/>
      <c r="G224" s="25"/>
    </row>
    <row r="225" spans="1:6" s="11" customFormat="1" ht="39" customHeight="1">
      <c r="A225" s="276" t="s">
        <v>269</v>
      </c>
      <c r="B225" s="278" t="s">
        <v>460</v>
      </c>
      <c r="C225" s="279"/>
      <c r="D225" s="278" t="s">
        <v>461</v>
      </c>
      <c r="E225" s="279"/>
      <c r="F225" s="280" t="s">
        <v>439</v>
      </c>
    </row>
    <row r="226" spans="1:7" ht="24.75" customHeight="1">
      <c r="A226" s="277"/>
      <c r="B226" s="132" t="s">
        <v>438</v>
      </c>
      <c r="C226" s="133" t="s">
        <v>459</v>
      </c>
      <c r="D226" s="132" t="s">
        <v>438</v>
      </c>
      <c r="E226" s="133" t="s">
        <v>459</v>
      </c>
      <c r="F226" s="281"/>
      <c r="G226" s="122"/>
    </row>
    <row r="227" spans="1:6" ht="12.75">
      <c r="A227" s="127" t="s">
        <v>101</v>
      </c>
      <c r="B227" s="131">
        <v>4</v>
      </c>
      <c r="C227" s="146">
        <v>9</v>
      </c>
      <c r="D227" s="131">
        <v>0</v>
      </c>
      <c r="E227" s="146">
        <v>0</v>
      </c>
      <c r="F227" s="134">
        <v>4</v>
      </c>
    </row>
    <row r="228" spans="1:6" ht="12.75">
      <c r="A228" s="127" t="s">
        <v>100</v>
      </c>
      <c r="B228" s="131">
        <v>5</v>
      </c>
      <c r="C228" s="146">
        <v>8.17</v>
      </c>
      <c r="D228" s="131">
        <v>0</v>
      </c>
      <c r="E228" s="146">
        <v>0</v>
      </c>
      <c r="F228" s="134">
        <v>5</v>
      </c>
    </row>
    <row r="229" spans="1:6" ht="12.75">
      <c r="A229" s="127" t="s">
        <v>99</v>
      </c>
      <c r="B229" s="131">
        <v>13</v>
      </c>
      <c r="C229" s="146">
        <v>9.52</v>
      </c>
      <c r="D229" s="131">
        <v>3</v>
      </c>
      <c r="E229" s="146">
        <v>6.5</v>
      </c>
      <c r="F229" s="134">
        <v>16</v>
      </c>
    </row>
    <row r="230" spans="1:6" ht="12.75">
      <c r="A230" s="127" t="s">
        <v>98</v>
      </c>
      <c r="B230" s="131">
        <v>12</v>
      </c>
      <c r="C230" s="146">
        <v>9.25</v>
      </c>
      <c r="D230" s="131">
        <v>5</v>
      </c>
      <c r="E230" s="146">
        <v>6.17</v>
      </c>
      <c r="F230" s="134">
        <v>17</v>
      </c>
    </row>
    <row r="231" spans="1:6" ht="12.75">
      <c r="A231" s="127" t="s">
        <v>97</v>
      </c>
      <c r="B231" s="131">
        <v>5</v>
      </c>
      <c r="C231" s="146">
        <v>8.5</v>
      </c>
      <c r="D231" s="131">
        <v>1</v>
      </c>
      <c r="E231" s="146">
        <v>4.5</v>
      </c>
      <c r="F231" s="134">
        <v>6</v>
      </c>
    </row>
    <row r="232" spans="1:6" ht="12.75">
      <c r="A232" s="127" t="s">
        <v>242</v>
      </c>
      <c r="B232" s="131">
        <v>5</v>
      </c>
      <c r="C232" s="146">
        <v>8.5</v>
      </c>
      <c r="D232" s="131">
        <v>0</v>
      </c>
      <c r="E232" s="146">
        <v>0</v>
      </c>
      <c r="F232" s="134">
        <v>5</v>
      </c>
    </row>
    <row r="233" spans="1:6" ht="12.75">
      <c r="A233" s="127" t="s">
        <v>96</v>
      </c>
      <c r="B233" s="131">
        <v>7</v>
      </c>
      <c r="C233" s="146">
        <v>8.83</v>
      </c>
      <c r="D233" s="131">
        <v>1</v>
      </c>
      <c r="E233" s="146">
        <v>6</v>
      </c>
      <c r="F233" s="134">
        <v>8</v>
      </c>
    </row>
    <row r="234" spans="1:6" ht="12.75">
      <c r="A234" s="127" t="s">
        <v>95</v>
      </c>
      <c r="B234" s="131">
        <v>3</v>
      </c>
      <c r="C234" s="146">
        <v>9</v>
      </c>
      <c r="D234" s="131">
        <v>1</v>
      </c>
      <c r="E234" s="146">
        <v>6</v>
      </c>
      <c r="F234" s="134">
        <v>4</v>
      </c>
    </row>
    <row r="235" spans="1:6" ht="12.75">
      <c r="A235" s="127" t="s">
        <v>241</v>
      </c>
      <c r="B235" s="170">
        <v>9</v>
      </c>
      <c r="C235" s="220">
        <v>8</v>
      </c>
      <c r="D235" s="170">
        <v>1</v>
      </c>
      <c r="E235" s="220">
        <v>5.5</v>
      </c>
      <c r="F235" s="134">
        <v>10</v>
      </c>
    </row>
    <row r="236" spans="1:7" ht="28.5" customHeight="1">
      <c r="A236" s="30" t="s">
        <v>225</v>
      </c>
      <c r="B236" s="172">
        <f>SUM(B185:B235)</f>
        <v>414</v>
      </c>
      <c r="C236" s="221">
        <f>SUM(C185:C235)/46</f>
        <v>9.234492753623186</v>
      </c>
      <c r="D236" s="172">
        <f>SUM(D185:D235)</f>
        <v>46</v>
      </c>
      <c r="E236" s="221">
        <f>SUM(E185:E235)/26</f>
        <v>6.107692307692307</v>
      </c>
      <c r="F236" s="130">
        <f>SUM(F185:F235)</f>
        <v>460</v>
      </c>
      <c r="G236" s="122"/>
    </row>
    <row r="238" ht="12.75">
      <c r="A238" s="155" t="s">
        <v>485</v>
      </c>
    </row>
    <row r="239" ht="12.75">
      <c r="A239" t="s">
        <v>83</v>
      </c>
    </row>
    <row r="242" spans="1:7" s="11" customFormat="1" ht="60.75" customHeight="1">
      <c r="A242" s="24" t="s">
        <v>447</v>
      </c>
      <c r="B242" s="248" t="s">
        <v>38</v>
      </c>
      <c r="C242" s="249"/>
      <c r="D242" s="249"/>
      <c r="E242" s="249"/>
      <c r="F242" s="250"/>
      <c r="G242" s="25"/>
    </row>
    <row r="243" spans="1:6" s="11" customFormat="1" ht="39" customHeight="1">
      <c r="A243" s="276" t="s">
        <v>269</v>
      </c>
      <c r="B243" s="278" t="s">
        <v>460</v>
      </c>
      <c r="C243" s="279"/>
      <c r="D243" s="278" t="s">
        <v>461</v>
      </c>
      <c r="E243" s="279"/>
      <c r="F243" s="280" t="s">
        <v>439</v>
      </c>
    </row>
    <row r="244" spans="1:10" ht="24.75" customHeight="1">
      <c r="A244" s="277"/>
      <c r="B244" s="132" t="s">
        <v>438</v>
      </c>
      <c r="C244" s="133" t="s">
        <v>459</v>
      </c>
      <c r="D244" s="132" t="s">
        <v>438</v>
      </c>
      <c r="E244" s="133" t="s">
        <v>459</v>
      </c>
      <c r="F244" s="281"/>
      <c r="G244" s="122"/>
      <c r="J244" s="11"/>
    </row>
    <row r="245" spans="1:6" ht="12.75">
      <c r="A245" s="218" t="s">
        <v>159</v>
      </c>
      <c r="B245" s="131">
        <v>4</v>
      </c>
      <c r="C245" s="146">
        <v>9.63</v>
      </c>
      <c r="D245" s="131">
        <v>0</v>
      </c>
      <c r="E245" s="146">
        <v>0</v>
      </c>
      <c r="F245" s="134">
        <v>4</v>
      </c>
    </row>
    <row r="246" spans="1:6" ht="12.75">
      <c r="A246" s="127" t="s">
        <v>160</v>
      </c>
      <c r="B246" s="131">
        <v>2</v>
      </c>
      <c r="C246" s="146">
        <v>9</v>
      </c>
      <c r="D246" s="131">
        <v>0</v>
      </c>
      <c r="E246" s="146">
        <v>0</v>
      </c>
      <c r="F246" s="134">
        <v>2</v>
      </c>
    </row>
    <row r="247" spans="1:6" ht="12.75">
      <c r="A247" s="127" t="s">
        <v>161</v>
      </c>
      <c r="B247" s="131">
        <v>4</v>
      </c>
      <c r="C247" s="146">
        <v>9</v>
      </c>
      <c r="D247" s="131">
        <v>2</v>
      </c>
      <c r="E247" s="146">
        <v>4.5</v>
      </c>
      <c r="F247" s="134">
        <v>6</v>
      </c>
    </row>
    <row r="248" spans="1:6" ht="12.75">
      <c r="A248" s="127" t="s">
        <v>162</v>
      </c>
      <c r="B248" s="131">
        <v>9</v>
      </c>
      <c r="C248" s="146">
        <v>9</v>
      </c>
      <c r="D248" s="131">
        <v>2</v>
      </c>
      <c r="E248" s="146">
        <v>5</v>
      </c>
      <c r="F248" s="134">
        <v>11</v>
      </c>
    </row>
    <row r="249" spans="1:6" ht="12.75">
      <c r="A249" s="127" t="s">
        <v>163</v>
      </c>
      <c r="B249" s="131">
        <v>3</v>
      </c>
      <c r="C249" s="146">
        <v>9</v>
      </c>
      <c r="D249" s="131">
        <v>0</v>
      </c>
      <c r="E249" s="146">
        <v>0</v>
      </c>
      <c r="F249" s="134">
        <v>3</v>
      </c>
    </row>
    <row r="250" spans="1:6" ht="12.75">
      <c r="A250" s="127" t="s">
        <v>227</v>
      </c>
      <c r="B250" s="131">
        <v>3</v>
      </c>
      <c r="C250" s="146">
        <v>9.5</v>
      </c>
      <c r="D250" s="131">
        <v>0</v>
      </c>
      <c r="E250" s="146">
        <v>0</v>
      </c>
      <c r="F250" s="134">
        <v>3</v>
      </c>
    </row>
    <row r="251" spans="1:6" ht="12.75">
      <c r="A251" s="127" t="s">
        <v>164</v>
      </c>
      <c r="B251" s="131">
        <v>5</v>
      </c>
      <c r="C251" s="146">
        <v>8.25</v>
      </c>
      <c r="D251" s="131">
        <v>1</v>
      </c>
      <c r="E251" s="146">
        <v>5</v>
      </c>
      <c r="F251" s="134">
        <v>6</v>
      </c>
    </row>
    <row r="252" spans="1:6" ht="12.75">
      <c r="A252" s="127" t="s">
        <v>255</v>
      </c>
      <c r="B252" s="131">
        <v>74</v>
      </c>
      <c r="C252" s="146">
        <v>9.02</v>
      </c>
      <c r="D252" s="131">
        <v>1</v>
      </c>
      <c r="E252" s="146">
        <v>5</v>
      </c>
      <c r="F252" s="134">
        <v>75</v>
      </c>
    </row>
    <row r="253" spans="1:6" ht="12.75">
      <c r="A253" s="127" t="s">
        <v>228</v>
      </c>
      <c r="B253" s="131">
        <v>1</v>
      </c>
      <c r="C253" s="146">
        <v>8.5</v>
      </c>
      <c r="D253" s="131">
        <v>0</v>
      </c>
      <c r="E253" s="146">
        <v>0</v>
      </c>
      <c r="F253" s="134">
        <v>1</v>
      </c>
    </row>
    <row r="254" spans="1:6" ht="12.75">
      <c r="A254" s="127" t="s">
        <v>165</v>
      </c>
      <c r="B254" s="131">
        <v>1</v>
      </c>
      <c r="C254" s="146">
        <v>9.5</v>
      </c>
      <c r="D254" s="131">
        <v>0</v>
      </c>
      <c r="E254" s="146">
        <v>0</v>
      </c>
      <c r="F254" s="134">
        <v>1</v>
      </c>
    </row>
    <row r="255" spans="1:6" ht="12.75">
      <c r="A255" s="165" t="s">
        <v>166</v>
      </c>
      <c r="B255" s="131">
        <v>3</v>
      </c>
      <c r="C255" s="146">
        <v>9</v>
      </c>
      <c r="D255" s="131">
        <v>0</v>
      </c>
      <c r="E255" s="146">
        <v>0</v>
      </c>
      <c r="F255" s="134">
        <v>3</v>
      </c>
    </row>
    <row r="256" spans="1:6" ht="12.75">
      <c r="A256" s="165" t="s">
        <v>167</v>
      </c>
      <c r="B256" s="131">
        <v>2</v>
      </c>
      <c r="C256" s="146">
        <v>9</v>
      </c>
      <c r="D256" s="131">
        <v>2</v>
      </c>
      <c r="E256" s="146">
        <v>5.5</v>
      </c>
      <c r="F256" s="134">
        <v>4</v>
      </c>
    </row>
    <row r="257" spans="1:6" ht="12.75">
      <c r="A257" s="127" t="s">
        <v>168</v>
      </c>
      <c r="B257" s="131">
        <v>4</v>
      </c>
      <c r="C257" s="146">
        <v>8.5</v>
      </c>
      <c r="D257" s="131">
        <v>0</v>
      </c>
      <c r="E257" s="146">
        <v>0</v>
      </c>
      <c r="F257" s="134">
        <v>4</v>
      </c>
    </row>
    <row r="258" spans="1:6" ht="12.75">
      <c r="A258" s="127" t="s">
        <v>169</v>
      </c>
      <c r="B258" s="131">
        <v>2</v>
      </c>
      <c r="C258" s="146">
        <v>9.5</v>
      </c>
      <c r="D258" s="131">
        <v>0</v>
      </c>
      <c r="E258" s="146">
        <v>0</v>
      </c>
      <c r="F258" s="134">
        <v>2</v>
      </c>
    </row>
    <row r="259" spans="1:6" ht="12.75">
      <c r="A259" s="127" t="s">
        <v>229</v>
      </c>
      <c r="B259" s="131">
        <v>3</v>
      </c>
      <c r="C259" s="146">
        <v>9</v>
      </c>
      <c r="D259" s="131">
        <v>0</v>
      </c>
      <c r="E259" s="146">
        <v>0</v>
      </c>
      <c r="F259" s="134">
        <v>3</v>
      </c>
    </row>
    <row r="260" spans="1:6" ht="12.75">
      <c r="A260" s="127" t="s">
        <v>154</v>
      </c>
      <c r="B260" s="131">
        <v>5</v>
      </c>
      <c r="C260" s="146">
        <v>9.5</v>
      </c>
      <c r="D260" s="131">
        <v>0</v>
      </c>
      <c r="E260" s="146">
        <v>0</v>
      </c>
      <c r="F260" s="134">
        <v>5</v>
      </c>
    </row>
    <row r="261" spans="1:6" ht="12.75">
      <c r="A261" s="127" t="s">
        <v>230</v>
      </c>
      <c r="B261" s="131">
        <v>1</v>
      </c>
      <c r="C261" s="146">
        <v>9</v>
      </c>
      <c r="D261" s="131">
        <v>0</v>
      </c>
      <c r="E261" s="146">
        <v>0</v>
      </c>
      <c r="F261" s="134">
        <v>1</v>
      </c>
    </row>
    <row r="262" spans="1:6" ht="12.75">
      <c r="A262" s="127" t="s">
        <v>155</v>
      </c>
      <c r="B262" s="131">
        <v>3</v>
      </c>
      <c r="C262" s="146">
        <v>10</v>
      </c>
      <c r="D262" s="131">
        <v>0</v>
      </c>
      <c r="E262" s="146">
        <v>0</v>
      </c>
      <c r="F262" s="134">
        <v>3</v>
      </c>
    </row>
    <row r="263" spans="1:6" ht="12.75">
      <c r="A263" s="127" t="s">
        <v>156</v>
      </c>
      <c r="B263" s="131">
        <v>3</v>
      </c>
      <c r="C263" s="146">
        <v>8.5</v>
      </c>
      <c r="D263" s="131">
        <v>0</v>
      </c>
      <c r="E263" s="146">
        <v>0</v>
      </c>
      <c r="F263" s="134">
        <v>3</v>
      </c>
    </row>
    <row r="264" spans="1:6" ht="12.75">
      <c r="A264" s="127" t="s">
        <v>404</v>
      </c>
      <c r="B264" s="131">
        <v>1</v>
      </c>
      <c r="C264" s="146">
        <v>9</v>
      </c>
      <c r="D264" s="131">
        <v>0</v>
      </c>
      <c r="E264" s="146">
        <v>0</v>
      </c>
      <c r="F264" s="134">
        <v>1</v>
      </c>
    </row>
    <row r="265" spans="1:7" ht="28.5" customHeight="1">
      <c r="A265" s="30" t="s">
        <v>226</v>
      </c>
      <c r="B265" s="172">
        <f>SUM(B245:B264)</f>
        <v>133</v>
      </c>
      <c r="C265" s="221">
        <f>SUM(C245:C264)/20</f>
        <v>9.07</v>
      </c>
      <c r="D265" s="172">
        <f>SUM(D245:D264)</f>
        <v>8</v>
      </c>
      <c r="E265" s="221">
        <f>SUM(E245:E264)/5</f>
        <v>5</v>
      </c>
      <c r="F265" s="130">
        <f>SUM(F245:F264)</f>
        <v>141</v>
      </c>
      <c r="G265" s="122"/>
    </row>
    <row r="268" spans="1:7" s="11" customFormat="1" ht="60.75" customHeight="1">
      <c r="A268" s="24" t="s">
        <v>447</v>
      </c>
      <c r="B268" s="248" t="s">
        <v>39</v>
      </c>
      <c r="C268" s="249"/>
      <c r="D268" s="249"/>
      <c r="E268" s="249"/>
      <c r="F268" s="250"/>
      <c r="G268" s="25"/>
    </row>
    <row r="269" spans="1:6" s="11" customFormat="1" ht="39" customHeight="1">
      <c r="A269" s="276" t="s">
        <v>269</v>
      </c>
      <c r="B269" s="278" t="s">
        <v>460</v>
      </c>
      <c r="C269" s="279"/>
      <c r="D269" s="278" t="s">
        <v>461</v>
      </c>
      <c r="E269" s="279"/>
      <c r="F269" s="280" t="s">
        <v>439</v>
      </c>
    </row>
    <row r="270" spans="1:7" ht="24.75" customHeight="1">
      <c r="A270" s="277"/>
      <c r="B270" s="132" t="s">
        <v>438</v>
      </c>
      <c r="C270" s="133" t="s">
        <v>459</v>
      </c>
      <c r="D270" s="132" t="s">
        <v>438</v>
      </c>
      <c r="E270" s="133" t="s">
        <v>459</v>
      </c>
      <c r="F270" s="281"/>
      <c r="G270" s="122"/>
    </row>
    <row r="271" spans="1:6" ht="12.75">
      <c r="A271" s="127" t="s">
        <v>337</v>
      </c>
      <c r="B271" s="131">
        <v>5</v>
      </c>
      <c r="C271" s="146">
        <v>8.5</v>
      </c>
      <c r="D271" s="131">
        <v>1</v>
      </c>
      <c r="E271" s="146">
        <v>5</v>
      </c>
      <c r="F271" s="134">
        <v>6</v>
      </c>
    </row>
    <row r="272" spans="1:6" ht="12.75">
      <c r="A272" s="127" t="s">
        <v>338</v>
      </c>
      <c r="B272" s="131">
        <v>7</v>
      </c>
      <c r="C272" s="146">
        <v>8.75</v>
      </c>
      <c r="D272" s="131">
        <v>0</v>
      </c>
      <c r="E272" s="146">
        <v>0</v>
      </c>
      <c r="F272" s="134">
        <v>7</v>
      </c>
    </row>
    <row r="273" spans="1:6" ht="12.75">
      <c r="A273" s="127" t="s">
        <v>143</v>
      </c>
      <c r="B273" s="131">
        <v>1</v>
      </c>
      <c r="C273" s="146">
        <v>8.5</v>
      </c>
      <c r="D273" s="131">
        <v>0</v>
      </c>
      <c r="E273" s="146">
        <v>0</v>
      </c>
      <c r="F273" s="134">
        <v>1</v>
      </c>
    </row>
    <row r="274" spans="1:6" ht="12.75">
      <c r="A274" s="127" t="s">
        <v>142</v>
      </c>
      <c r="B274" s="131">
        <v>4</v>
      </c>
      <c r="C274" s="146">
        <v>8</v>
      </c>
      <c r="D274" s="131">
        <v>0</v>
      </c>
      <c r="E274" s="146">
        <v>0</v>
      </c>
      <c r="F274" s="134">
        <v>4</v>
      </c>
    </row>
    <row r="275" spans="1:6" ht="12.75">
      <c r="A275" s="127" t="s">
        <v>237</v>
      </c>
      <c r="B275" s="131">
        <v>1</v>
      </c>
      <c r="C275" s="146">
        <v>10</v>
      </c>
      <c r="D275" s="131">
        <v>1</v>
      </c>
      <c r="E275" s="146">
        <v>6</v>
      </c>
      <c r="F275" s="134">
        <v>2</v>
      </c>
    </row>
    <row r="276" spans="1:6" ht="12.75">
      <c r="A276" s="127" t="s">
        <v>140</v>
      </c>
      <c r="B276" s="131">
        <v>3</v>
      </c>
      <c r="C276" s="146">
        <v>10</v>
      </c>
      <c r="D276" s="131">
        <v>0</v>
      </c>
      <c r="E276" s="146">
        <v>0</v>
      </c>
      <c r="F276" s="134">
        <v>3</v>
      </c>
    </row>
    <row r="277" spans="1:6" ht="12.75">
      <c r="A277" s="127" t="s">
        <v>339</v>
      </c>
      <c r="B277" s="131">
        <v>6</v>
      </c>
      <c r="C277" s="146">
        <v>8.13</v>
      </c>
      <c r="D277" s="131">
        <v>0</v>
      </c>
      <c r="E277" s="146">
        <v>0</v>
      </c>
      <c r="F277" s="134">
        <v>6</v>
      </c>
    </row>
    <row r="278" spans="1:6" ht="12.75">
      <c r="A278" s="127" t="s">
        <v>236</v>
      </c>
      <c r="B278" s="131">
        <v>5</v>
      </c>
      <c r="C278" s="146">
        <v>9</v>
      </c>
      <c r="D278" s="131">
        <v>0</v>
      </c>
      <c r="E278" s="146">
        <v>0</v>
      </c>
      <c r="F278" s="134">
        <v>5</v>
      </c>
    </row>
    <row r="279" spans="1:6" ht="12.75">
      <c r="A279" s="127" t="s">
        <v>235</v>
      </c>
      <c r="B279" s="131">
        <v>2</v>
      </c>
      <c r="C279" s="146">
        <v>9.5</v>
      </c>
      <c r="D279" s="131">
        <v>0</v>
      </c>
      <c r="E279" s="146">
        <v>0</v>
      </c>
      <c r="F279" s="134">
        <v>2</v>
      </c>
    </row>
    <row r="280" spans="1:6" ht="12.75">
      <c r="A280" s="127" t="s">
        <v>139</v>
      </c>
      <c r="B280" s="131">
        <v>17</v>
      </c>
      <c r="C280" s="146">
        <v>8.1</v>
      </c>
      <c r="D280" s="131">
        <v>0</v>
      </c>
      <c r="E280" s="146">
        <v>0</v>
      </c>
      <c r="F280" s="134">
        <v>17</v>
      </c>
    </row>
    <row r="281" spans="1:6" ht="12.75">
      <c r="A281" s="127" t="s">
        <v>234</v>
      </c>
      <c r="B281" s="131">
        <v>3</v>
      </c>
      <c r="C281" s="146">
        <v>9</v>
      </c>
      <c r="D281" s="131">
        <v>1</v>
      </c>
      <c r="E281" s="146">
        <v>6</v>
      </c>
      <c r="F281" s="134">
        <v>4</v>
      </c>
    </row>
    <row r="282" spans="1:6" ht="12.75">
      <c r="A282" s="127" t="s">
        <v>233</v>
      </c>
      <c r="B282" s="131">
        <v>17</v>
      </c>
      <c r="C282" s="146">
        <v>8.95</v>
      </c>
      <c r="D282" s="131">
        <v>0</v>
      </c>
      <c r="E282" s="146">
        <v>0</v>
      </c>
      <c r="F282" s="134">
        <v>17</v>
      </c>
    </row>
    <row r="283" spans="1:6" ht="12.75">
      <c r="A283" s="127" t="s">
        <v>232</v>
      </c>
      <c r="B283" s="131">
        <v>6</v>
      </c>
      <c r="C283" s="146">
        <v>9</v>
      </c>
      <c r="D283" s="131">
        <v>0</v>
      </c>
      <c r="E283" s="146">
        <v>0</v>
      </c>
      <c r="F283" s="134">
        <v>6</v>
      </c>
    </row>
    <row r="284" spans="1:6" ht="12.75">
      <c r="A284" s="127" t="s">
        <v>256</v>
      </c>
      <c r="B284" s="131">
        <v>65</v>
      </c>
      <c r="C284" s="146">
        <v>9.22</v>
      </c>
      <c r="D284" s="131">
        <v>8</v>
      </c>
      <c r="E284" s="146">
        <v>6.75</v>
      </c>
      <c r="F284" s="134">
        <v>73</v>
      </c>
    </row>
    <row r="285" spans="1:6" ht="12.75">
      <c r="A285" s="127" t="s">
        <v>231</v>
      </c>
      <c r="B285" s="131">
        <v>1</v>
      </c>
      <c r="C285" s="146">
        <v>10</v>
      </c>
      <c r="D285" s="131">
        <v>1</v>
      </c>
      <c r="E285" s="146">
        <v>6</v>
      </c>
      <c r="F285" s="134">
        <v>2</v>
      </c>
    </row>
    <row r="286" spans="1:6" ht="12.75">
      <c r="A286" s="127" t="s">
        <v>340</v>
      </c>
      <c r="B286" s="131">
        <v>6</v>
      </c>
      <c r="C286" s="146">
        <v>8</v>
      </c>
      <c r="D286" s="131">
        <v>0</v>
      </c>
      <c r="E286" s="146">
        <v>0</v>
      </c>
      <c r="F286" s="134">
        <v>6</v>
      </c>
    </row>
    <row r="287" spans="1:6" ht="12.75">
      <c r="A287" s="127" t="s">
        <v>138</v>
      </c>
      <c r="B287" s="131">
        <v>2</v>
      </c>
      <c r="C287" s="146">
        <v>9</v>
      </c>
      <c r="D287" s="131">
        <v>0</v>
      </c>
      <c r="E287" s="146">
        <v>0</v>
      </c>
      <c r="F287" s="134">
        <v>2</v>
      </c>
    </row>
    <row r="288" spans="1:6" ht="12.75">
      <c r="A288" s="127" t="s">
        <v>238</v>
      </c>
      <c r="B288" s="131">
        <v>3</v>
      </c>
      <c r="C288" s="146">
        <v>10</v>
      </c>
      <c r="D288" s="131">
        <v>0</v>
      </c>
      <c r="E288" s="146">
        <v>0</v>
      </c>
      <c r="F288" s="134">
        <v>3</v>
      </c>
    </row>
    <row r="289" spans="1:10" ht="28.5" customHeight="1">
      <c r="A289" s="30" t="s">
        <v>182</v>
      </c>
      <c r="B289" s="172">
        <f>SUM(B271:B288)</f>
        <v>154</v>
      </c>
      <c r="C289" s="221">
        <f>SUM(C271:C288)/18</f>
        <v>8.980555555555554</v>
      </c>
      <c r="D289" s="172">
        <f>SUM(D271:D288)</f>
        <v>12</v>
      </c>
      <c r="E289" s="221">
        <f>SUM(E271:E288)/5</f>
        <v>5.95</v>
      </c>
      <c r="F289" s="173">
        <f>SUM(F271:F288)</f>
        <v>166</v>
      </c>
      <c r="G289" s="122"/>
      <c r="J289" s="11"/>
    </row>
    <row r="292" spans="1:7" s="11" customFormat="1" ht="60.75" customHeight="1">
      <c r="A292" s="24" t="s">
        <v>447</v>
      </c>
      <c r="B292" s="248" t="s">
        <v>4</v>
      </c>
      <c r="C292" s="249"/>
      <c r="D292" s="249"/>
      <c r="E292" s="249"/>
      <c r="F292" s="250"/>
      <c r="G292" s="25"/>
    </row>
    <row r="293" spans="1:6" s="11" customFormat="1" ht="39" customHeight="1">
      <c r="A293" s="276" t="s">
        <v>269</v>
      </c>
      <c r="B293" s="278" t="s">
        <v>460</v>
      </c>
      <c r="C293" s="279"/>
      <c r="D293" s="278" t="s">
        <v>461</v>
      </c>
      <c r="E293" s="279"/>
      <c r="F293" s="280" t="s">
        <v>439</v>
      </c>
    </row>
    <row r="294" spans="1:7" ht="24.75" customHeight="1">
      <c r="A294" s="277"/>
      <c r="B294" s="132" t="s">
        <v>438</v>
      </c>
      <c r="C294" s="133" t="s">
        <v>459</v>
      </c>
      <c r="D294" s="132" t="s">
        <v>438</v>
      </c>
      <c r="E294" s="133" t="s">
        <v>459</v>
      </c>
      <c r="F294" s="281"/>
      <c r="G294" s="122"/>
    </row>
    <row r="295" spans="1:6" ht="12.75">
      <c r="A295" s="127" t="s">
        <v>341</v>
      </c>
      <c r="B295" s="131">
        <v>0</v>
      </c>
      <c r="C295" s="146">
        <v>0</v>
      </c>
      <c r="D295" s="131">
        <v>2</v>
      </c>
      <c r="E295" s="146">
        <v>5.5</v>
      </c>
      <c r="F295" s="134">
        <v>2</v>
      </c>
    </row>
    <row r="296" spans="1:6" ht="12.75">
      <c r="A296" s="127" t="s">
        <v>174</v>
      </c>
      <c r="B296" s="131">
        <v>2</v>
      </c>
      <c r="C296" s="146">
        <v>8.75</v>
      </c>
      <c r="D296" s="131">
        <v>1</v>
      </c>
      <c r="E296" s="146">
        <v>6</v>
      </c>
      <c r="F296" s="134">
        <v>3</v>
      </c>
    </row>
    <row r="297" spans="1:6" ht="12.75">
      <c r="A297" s="127" t="s">
        <v>418</v>
      </c>
      <c r="B297" s="131">
        <v>1</v>
      </c>
      <c r="C297" s="146">
        <v>9</v>
      </c>
      <c r="D297" s="131">
        <v>0</v>
      </c>
      <c r="E297" s="146">
        <v>0</v>
      </c>
      <c r="F297" s="134">
        <v>1</v>
      </c>
    </row>
    <row r="298" spans="1:6" ht="21.75">
      <c r="A298" s="127" t="s">
        <v>153</v>
      </c>
      <c r="B298" s="131">
        <v>3</v>
      </c>
      <c r="C298" s="146">
        <v>8</v>
      </c>
      <c r="D298" s="131">
        <v>1</v>
      </c>
      <c r="E298" s="146">
        <v>5</v>
      </c>
      <c r="F298" s="134">
        <v>4</v>
      </c>
    </row>
    <row r="299" spans="1:6" ht="12.75">
      <c r="A299" s="127" t="s">
        <v>152</v>
      </c>
      <c r="B299" s="131">
        <v>32</v>
      </c>
      <c r="C299" s="146">
        <v>9</v>
      </c>
      <c r="D299" s="131">
        <v>2</v>
      </c>
      <c r="E299" s="146">
        <v>6.25</v>
      </c>
      <c r="F299" s="134">
        <v>34</v>
      </c>
    </row>
    <row r="300" spans="1:6" ht="12.75">
      <c r="A300" s="127" t="s">
        <v>151</v>
      </c>
      <c r="B300" s="131">
        <v>6</v>
      </c>
      <c r="C300" s="146">
        <v>8.25</v>
      </c>
      <c r="D300" s="131">
        <v>2</v>
      </c>
      <c r="E300" s="146">
        <v>5</v>
      </c>
      <c r="F300" s="134">
        <v>8</v>
      </c>
    </row>
    <row r="301" spans="1:6" ht="12.75">
      <c r="A301" s="127" t="s">
        <v>179</v>
      </c>
      <c r="B301" s="131">
        <v>0</v>
      </c>
      <c r="C301" s="146">
        <v>0</v>
      </c>
      <c r="D301" s="131">
        <v>2</v>
      </c>
      <c r="E301" s="146">
        <v>6</v>
      </c>
      <c r="F301" s="134">
        <v>2</v>
      </c>
    </row>
    <row r="302" spans="1:6" ht="12.75">
      <c r="A302" s="127" t="s">
        <v>150</v>
      </c>
      <c r="B302" s="131">
        <v>40</v>
      </c>
      <c r="C302" s="146">
        <v>9.41</v>
      </c>
      <c r="D302" s="131">
        <v>7</v>
      </c>
      <c r="E302" s="146">
        <v>6.13</v>
      </c>
      <c r="F302" s="134">
        <v>47</v>
      </c>
    </row>
    <row r="303" spans="1:6" ht="12.75">
      <c r="A303" s="127" t="s">
        <v>149</v>
      </c>
      <c r="B303" s="131">
        <v>2</v>
      </c>
      <c r="C303" s="146">
        <v>11</v>
      </c>
      <c r="D303" s="131">
        <v>2</v>
      </c>
      <c r="E303" s="146">
        <v>6.25</v>
      </c>
      <c r="F303" s="134">
        <v>4</v>
      </c>
    </row>
    <row r="304" spans="1:6" ht="12.75">
      <c r="A304" s="127" t="s">
        <v>181</v>
      </c>
      <c r="B304" s="131">
        <v>0</v>
      </c>
      <c r="C304" s="146">
        <v>0</v>
      </c>
      <c r="D304" s="131">
        <v>1</v>
      </c>
      <c r="E304" s="146">
        <v>7.5</v>
      </c>
      <c r="F304" s="134">
        <v>1</v>
      </c>
    </row>
    <row r="305" spans="1:6" ht="12.75">
      <c r="A305" s="127" t="s">
        <v>148</v>
      </c>
      <c r="B305" s="131">
        <v>3</v>
      </c>
      <c r="C305" s="146">
        <v>8.25</v>
      </c>
      <c r="D305" s="131">
        <v>0</v>
      </c>
      <c r="E305" s="146">
        <v>0</v>
      </c>
      <c r="F305" s="134">
        <v>3</v>
      </c>
    </row>
    <row r="306" spans="1:6" ht="12.75">
      <c r="A306" s="127" t="s">
        <v>147</v>
      </c>
      <c r="B306" s="131">
        <v>2</v>
      </c>
      <c r="C306" s="146">
        <v>7.75</v>
      </c>
      <c r="D306" s="131">
        <v>0</v>
      </c>
      <c r="E306" s="146">
        <v>0</v>
      </c>
      <c r="F306" s="134">
        <v>2</v>
      </c>
    </row>
    <row r="307" spans="1:6" ht="12.75">
      <c r="A307" s="127" t="s">
        <v>173</v>
      </c>
      <c r="B307" s="131">
        <v>2</v>
      </c>
      <c r="C307" s="146">
        <v>8</v>
      </c>
      <c r="D307" s="131">
        <v>0</v>
      </c>
      <c r="E307" s="146">
        <v>0</v>
      </c>
      <c r="F307" s="134">
        <v>2</v>
      </c>
    </row>
    <row r="308" spans="1:6" ht="12.75">
      <c r="A308" s="127" t="s">
        <v>146</v>
      </c>
      <c r="B308" s="131">
        <v>3</v>
      </c>
      <c r="C308" s="146">
        <v>8.25</v>
      </c>
      <c r="D308" s="131">
        <v>0</v>
      </c>
      <c r="E308" s="146">
        <v>0</v>
      </c>
      <c r="F308" s="134">
        <v>3</v>
      </c>
    </row>
    <row r="309" spans="1:6" ht="12.75">
      <c r="A309" s="127" t="s">
        <v>178</v>
      </c>
      <c r="B309" s="131">
        <v>1</v>
      </c>
      <c r="C309" s="146">
        <v>8</v>
      </c>
      <c r="D309" s="131">
        <v>0</v>
      </c>
      <c r="E309" s="146">
        <v>0</v>
      </c>
      <c r="F309" s="134">
        <v>1</v>
      </c>
    </row>
    <row r="310" spans="1:6" ht="12.75">
      <c r="A310" s="127" t="s">
        <v>172</v>
      </c>
      <c r="B310" s="131">
        <v>3</v>
      </c>
      <c r="C310" s="146">
        <v>9</v>
      </c>
      <c r="D310" s="131">
        <v>0</v>
      </c>
      <c r="E310" s="146">
        <v>0</v>
      </c>
      <c r="F310" s="134">
        <v>3</v>
      </c>
    </row>
    <row r="311" spans="1:6" ht="12.75">
      <c r="A311" s="127" t="s">
        <v>177</v>
      </c>
      <c r="B311" s="131">
        <v>0</v>
      </c>
      <c r="C311" s="146">
        <v>0</v>
      </c>
      <c r="D311" s="131">
        <v>1</v>
      </c>
      <c r="E311" s="146">
        <v>6.5</v>
      </c>
      <c r="F311" s="134">
        <v>1</v>
      </c>
    </row>
    <row r="312" spans="1:6" ht="12.75">
      <c r="A312" s="127" t="s">
        <v>171</v>
      </c>
      <c r="B312" s="131">
        <v>0</v>
      </c>
      <c r="C312" s="146">
        <v>0</v>
      </c>
      <c r="D312" s="131">
        <v>1</v>
      </c>
      <c r="E312" s="146">
        <v>7.75</v>
      </c>
      <c r="F312" s="134">
        <v>1</v>
      </c>
    </row>
    <row r="313" spans="1:6" ht="12.75">
      <c r="A313" s="127" t="s">
        <v>176</v>
      </c>
      <c r="B313" s="131">
        <v>0</v>
      </c>
      <c r="C313" s="146">
        <v>0</v>
      </c>
      <c r="D313" s="131">
        <v>1</v>
      </c>
      <c r="E313" s="146">
        <v>5</v>
      </c>
      <c r="F313" s="134">
        <v>1</v>
      </c>
    </row>
    <row r="314" spans="1:6" ht="12.75">
      <c r="A314" s="127" t="s">
        <v>145</v>
      </c>
      <c r="B314" s="131">
        <v>2</v>
      </c>
      <c r="C314" s="146">
        <v>8.5</v>
      </c>
      <c r="D314" s="131">
        <v>1</v>
      </c>
      <c r="E314" s="146">
        <v>5.25</v>
      </c>
      <c r="F314" s="134">
        <v>3</v>
      </c>
    </row>
    <row r="315" spans="1:6" ht="12.75">
      <c r="A315" s="127" t="s">
        <v>170</v>
      </c>
      <c r="B315" s="131">
        <v>1</v>
      </c>
      <c r="C315" s="146">
        <v>8.5</v>
      </c>
      <c r="D315" s="131">
        <v>0</v>
      </c>
      <c r="E315" s="146">
        <v>0</v>
      </c>
      <c r="F315" s="134">
        <v>1</v>
      </c>
    </row>
    <row r="316" spans="1:6" ht="12.75">
      <c r="A316" s="127" t="s">
        <v>175</v>
      </c>
      <c r="B316" s="131">
        <v>0</v>
      </c>
      <c r="C316" s="146">
        <v>0</v>
      </c>
      <c r="D316" s="131">
        <v>1</v>
      </c>
      <c r="E316" s="146">
        <v>5</v>
      </c>
      <c r="F316" s="134">
        <v>1</v>
      </c>
    </row>
    <row r="317" spans="1:6" ht="12.75">
      <c r="A317" s="127" t="s">
        <v>144</v>
      </c>
      <c r="B317" s="131">
        <v>3</v>
      </c>
      <c r="C317" s="146">
        <v>8.5</v>
      </c>
      <c r="D317" s="131">
        <v>1</v>
      </c>
      <c r="E317" s="146">
        <v>5.5</v>
      </c>
      <c r="F317" s="134">
        <v>4</v>
      </c>
    </row>
    <row r="318" spans="1:6" ht="12.75">
      <c r="A318" s="127" t="s">
        <v>180</v>
      </c>
      <c r="B318" s="131">
        <v>1</v>
      </c>
      <c r="C318" s="146">
        <v>9</v>
      </c>
      <c r="D318" s="131">
        <v>1</v>
      </c>
      <c r="E318" s="146">
        <v>6.5</v>
      </c>
      <c r="F318" s="134">
        <v>2</v>
      </c>
    </row>
    <row r="319" spans="1:10" ht="28.5" customHeight="1">
      <c r="A319" s="30" t="s">
        <v>183</v>
      </c>
      <c r="B319" s="172">
        <f>SUM(B295:B318)</f>
        <v>107</v>
      </c>
      <c r="C319" s="221">
        <f>SUM(C295:C318)/17</f>
        <v>8.656470588235294</v>
      </c>
      <c r="D319" s="172">
        <f>SUM(D295:D318)</f>
        <v>27</v>
      </c>
      <c r="E319" s="221">
        <f>SUM(E295:E318)/16</f>
        <v>5.945625</v>
      </c>
      <c r="F319" s="173">
        <f>SUM(F295:F318)</f>
        <v>134</v>
      </c>
      <c r="G319" s="122"/>
      <c r="J319" s="11"/>
    </row>
    <row r="322" spans="1:7" s="11" customFormat="1" ht="60.75" customHeight="1">
      <c r="A322" s="24" t="s">
        <v>447</v>
      </c>
      <c r="B322" s="248" t="s">
        <v>5</v>
      </c>
      <c r="C322" s="249"/>
      <c r="D322" s="249"/>
      <c r="E322" s="249"/>
      <c r="F322" s="250"/>
      <c r="G322" s="25"/>
    </row>
    <row r="323" spans="1:6" s="11" customFormat="1" ht="39" customHeight="1">
      <c r="A323" s="276" t="s">
        <v>269</v>
      </c>
      <c r="B323" s="278" t="s">
        <v>460</v>
      </c>
      <c r="C323" s="279"/>
      <c r="D323" s="278" t="s">
        <v>461</v>
      </c>
      <c r="E323" s="279"/>
      <c r="F323" s="280" t="s">
        <v>439</v>
      </c>
    </row>
    <row r="324" spans="1:7" ht="24.75" customHeight="1">
      <c r="A324" s="277"/>
      <c r="B324" s="132" t="s">
        <v>438</v>
      </c>
      <c r="C324" s="133" t="s">
        <v>459</v>
      </c>
      <c r="D324" s="132" t="s">
        <v>438</v>
      </c>
      <c r="E324" s="133" t="s">
        <v>459</v>
      </c>
      <c r="F324" s="281"/>
      <c r="G324" s="122"/>
    </row>
    <row r="325" spans="1:6" ht="12.75">
      <c r="A325" s="218" t="s">
        <v>342</v>
      </c>
      <c r="B325" s="131">
        <v>4</v>
      </c>
      <c r="C325" s="146">
        <v>8</v>
      </c>
      <c r="D325" s="131">
        <v>0</v>
      </c>
      <c r="E325" s="146">
        <v>0</v>
      </c>
      <c r="F325" s="134">
        <v>4</v>
      </c>
    </row>
    <row r="326" spans="1:6" ht="12.75">
      <c r="A326" s="127" t="s">
        <v>343</v>
      </c>
      <c r="B326" s="131">
        <v>4</v>
      </c>
      <c r="C326" s="146">
        <v>8</v>
      </c>
      <c r="D326" s="131">
        <v>1</v>
      </c>
      <c r="E326" s="146">
        <v>5</v>
      </c>
      <c r="F326" s="134">
        <v>5</v>
      </c>
    </row>
    <row r="327" spans="1:6" ht="12.75">
      <c r="A327" s="127" t="s">
        <v>344</v>
      </c>
      <c r="B327" s="131">
        <v>0</v>
      </c>
      <c r="C327" s="146">
        <v>0</v>
      </c>
      <c r="D327" s="131">
        <v>1</v>
      </c>
      <c r="E327" s="146">
        <v>5</v>
      </c>
      <c r="F327" s="134">
        <v>1</v>
      </c>
    </row>
    <row r="328" spans="1:6" ht="12.75">
      <c r="A328" s="127" t="s">
        <v>345</v>
      </c>
      <c r="B328" s="131">
        <v>4</v>
      </c>
      <c r="C328" s="146">
        <v>8</v>
      </c>
      <c r="D328" s="131">
        <v>0</v>
      </c>
      <c r="E328" s="146">
        <v>0</v>
      </c>
      <c r="F328" s="134">
        <v>4</v>
      </c>
    </row>
    <row r="329" spans="1:6" ht="12.75">
      <c r="A329" s="127" t="s">
        <v>346</v>
      </c>
      <c r="B329" s="131">
        <v>1</v>
      </c>
      <c r="C329" s="146">
        <v>8</v>
      </c>
      <c r="D329" s="131">
        <v>0</v>
      </c>
      <c r="E329" s="146">
        <v>0</v>
      </c>
      <c r="F329" s="134">
        <v>1</v>
      </c>
    </row>
    <row r="330" spans="1:6" ht="12.75">
      <c r="A330" s="127" t="s">
        <v>347</v>
      </c>
      <c r="B330" s="131">
        <v>0</v>
      </c>
      <c r="C330" s="146">
        <v>0</v>
      </c>
      <c r="D330" s="131">
        <v>2</v>
      </c>
      <c r="E330" s="146">
        <v>6</v>
      </c>
      <c r="F330" s="134">
        <v>2</v>
      </c>
    </row>
    <row r="331" spans="1:6" ht="12.75">
      <c r="A331" s="127" t="s">
        <v>352</v>
      </c>
      <c r="B331" s="131">
        <v>0</v>
      </c>
      <c r="C331" s="146">
        <v>0</v>
      </c>
      <c r="D331" s="131">
        <v>1</v>
      </c>
      <c r="E331" s="146">
        <v>5.7</v>
      </c>
      <c r="F331" s="134">
        <v>1</v>
      </c>
    </row>
    <row r="332" spans="1:6" ht="12.75">
      <c r="A332" s="127" t="s">
        <v>348</v>
      </c>
      <c r="B332" s="131">
        <v>12</v>
      </c>
      <c r="C332" s="146">
        <v>8</v>
      </c>
      <c r="D332" s="131">
        <v>0</v>
      </c>
      <c r="E332" s="146">
        <v>0</v>
      </c>
      <c r="F332" s="134">
        <v>12</v>
      </c>
    </row>
    <row r="333" spans="1:6" ht="12.75">
      <c r="A333" s="127" t="s">
        <v>258</v>
      </c>
      <c r="B333" s="131">
        <v>31</v>
      </c>
      <c r="C333" s="146">
        <v>8.21</v>
      </c>
      <c r="D333" s="131">
        <v>5</v>
      </c>
      <c r="E333" s="146">
        <v>6.5</v>
      </c>
      <c r="F333" s="134">
        <v>36</v>
      </c>
    </row>
    <row r="334" spans="1:6" ht="21.75">
      <c r="A334" s="127" t="s">
        <v>349</v>
      </c>
      <c r="B334" s="131">
        <v>2</v>
      </c>
      <c r="C334" s="146">
        <v>8.5</v>
      </c>
      <c r="D334" s="131">
        <v>0</v>
      </c>
      <c r="E334" s="146">
        <v>0</v>
      </c>
      <c r="F334" s="134">
        <v>2</v>
      </c>
    </row>
    <row r="335" spans="1:6" ht="21.75">
      <c r="A335" s="165" t="s">
        <v>350</v>
      </c>
      <c r="B335" s="131">
        <v>2</v>
      </c>
      <c r="C335" s="146">
        <v>8.333333333333332</v>
      </c>
      <c r="D335" s="131">
        <v>2</v>
      </c>
      <c r="E335" s="146">
        <v>5</v>
      </c>
      <c r="F335" s="134">
        <v>4</v>
      </c>
    </row>
    <row r="336" spans="1:6" ht="12.75">
      <c r="A336" s="165" t="s">
        <v>351</v>
      </c>
      <c r="B336" s="131">
        <v>3</v>
      </c>
      <c r="C336" s="146">
        <v>8</v>
      </c>
      <c r="D336" s="131">
        <v>0</v>
      </c>
      <c r="E336" s="146">
        <v>0</v>
      </c>
      <c r="F336" s="134">
        <v>3</v>
      </c>
    </row>
    <row r="337" spans="1:10" ht="28.5" customHeight="1">
      <c r="A337" s="30" t="s">
        <v>184</v>
      </c>
      <c r="B337" s="172">
        <f>SUM(B325:B336)</f>
        <v>63</v>
      </c>
      <c r="C337" s="221">
        <f>SUM(C325:C336)/9</f>
        <v>8.115925925925927</v>
      </c>
      <c r="D337" s="172">
        <f>SUM(D325:D336)</f>
        <v>12</v>
      </c>
      <c r="E337" s="221">
        <f>SUM(E325:E336)/6</f>
        <v>5.533333333333334</v>
      </c>
      <c r="F337" s="173">
        <f>SUM(F325:F336)</f>
        <v>75</v>
      </c>
      <c r="G337" s="122"/>
      <c r="J337" s="11"/>
    </row>
  </sheetData>
  <mergeCells count="57">
    <mergeCell ref="G2:G3"/>
    <mergeCell ref="B1:G1"/>
    <mergeCell ref="B224:F224"/>
    <mergeCell ref="A225:A226"/>
    <mergeCell ref="B225:C225"/>
    <mergeCell ref="D225:E225"/>
    <mergeCell ref="F225:F226"/>
    <mergeCell ref="B182:F182"/>
    <mergeCell ref="A183:A184"/>
    <mergeCell ref="B183:C183"/>
    <mergeCell ref="B322:F322"/>
    <mergeCell ref="A323:A324"/>
    <mergeCell ref="B323:C323"/>
    <mergeCell ref="D323:E323"/>
    <mergeCell ref="F323:F324"/>
    <mergeCell ref="B292:F292"/>
    <mergeCell ref="A293:A294"/>
    <mergeCell ref="B293:C293"/>
    <mergeCell ref="D293:E293"/>
    <mergeCell ref="F293:F294"/>
    <mergeCell ref="D183:E183"/>
    <mergeCell ref="F183:F184"/>
    <mergeCell ref="B141:F141"/>
    <mergeCell ref="A142:A143"/>
    <mergeCell ref="B142:C142"/>
    <mergeCell ref="D142:E142"/>
    <mergeCell ref="F142:F143"/>
    <mergeCell ref="F72:F73"/>
    <mergeCell ref="B98:F98"/>
    <mergeCell ref="A99:A100"/>
    <mergeCell ref="B99:C99"/>
    <mergeCell ref="D99:E99"/>
    <mergeCell ref="F99:F100"/>
    <mergeCell ref="A42:F42"/>
    <mergeCell ref="A2:A3"/>
    <mergeCell ref="B2:C2"/>
    <mergeCell ref="D2:E2"/>
    <mergeCell ref="F2:F3"/>
    <mergeCell ref="B44:F44"/>
    <mergeCell ref="A45:A46"/>
    <mergeCell ref="B45:C45"/>
    <mergeCell ref="B242:F242"/>
    <mergeCell ref="D45:E45"/>
    <mergeCell ref="F45:F46"/>
    <mergeCell ref="B71:F71"/>
    <mergeCell ref="A72:A73"/>
    <mergeCell ref="B72:C72"/>
    <mergeCell ref="D72:E72"/>
    <mergeCell ref="A243:A244"/>
    <mergeCell ref="B243:C243"/>
    <mergeCell ref="D243:E243"/>
    <mergeCell ref="F243:F244"/>
    <mergeCell ref="B268:F268"/>
    <mergeCell ref="A269:A270"/>
    <mergeCell ref="B269:C269"/>
    <mergeCell ref="D269:E269"/>
    <mergeCell ref="F269:F270"/>
  </mergeCells>
  <printOptions/>
  <pageMargins left="0.75" right="0.75" top="1" bottom="1" header="0.5" footer="0.5"/>
  <pageSetup horizontalDpi="600" verticalDpi="600" orientation="portrait" paperSize="9" r:id="rId2"/>
  <rowBreaks count="9" manualBreakCount="9">
    <brk id="70" max="255" man="1"/>
    <brk id="97" max="255" man="1"/>
    <brk id="140" max="255" man="1"/>
    <brk id="181" max="255" man="1"/>
    <brk id="223" max="255" man="1"/>
    <brk id="241" max="255" man="1"/>
    <brk id="267" max="255" man="1"/>
    <brk id="291" max="255" man="1"/>
    <brk id="32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8"/>
  <sheetViews>
    <sheetView zoomScale="75" zoomScaleNormal="75" workbookViewId="0" topLeftCell="A1">
      <selection activeCell="M1" sqref="M1"/>
    </sheetView>
  </sheetViews>
  <sheetFormatPr defaultColWidth="9.140625" defaultRowHeight="12.75"/>
  <cols>
    <col min="1" max="1" width="25.28125" style="124" customWidth="1"/>
    <col min="2" max="2" width="8.8515625" style="122" customWidth="1"/>
    <col min="3" max="3" width="8.7109375" style="122" customWidth="1"/>
    <col min="4" max="4" width="8.8515625" style="122" customWidth="1"/>
    <col min="5" max="5" width="8.28125" style="122" customWidth="1"/>
    <col min="6" max="6" width="8.8515625" style="122" customWidth="1"/>
    <col min="7" max="7" width="9.28125" style="122" bestFit="1" customWidth="1"/>
    <col min="8" max="16384" width="8.8515625" style="122" customWidth="1"/>
  </cols>
  <sheetData>
    <row r="1" spans="1:10" s="2" customFormat="1" ht="71.25" customHeight="1">
      <c r="A1" s="126" t="s">
        <v>446</v>
      </c>
      <c r="B1" s="237" t="s">
        <v>457</v>
      </c>
      <c r="C1" s="238"/>
      <c r="D1" s="238"/>
      <c r="E1" s="238"/>
      <c r="F1" s="238"/>
      <c r="G1" s="252"/>
      <c r="H1" s="20"/>
      <c r="I1" s="20"/>
      <c r="J1" s="20"/>
    </row>
    <row r="2" spans="1:8" ht="30.75" customHeight="1">
      <c r="A2" s="255" t="s">
        <v>185</v>
      </c>
      <c r="B2" s="246" t="s">
        <v>460</v>
      </c>
      <c r="C2" s="246"/>
      <c r="D2" s="246" t="s">
        <v>461</v>
      </c>
      <c r="E2" s="246"/>
      <c r="F2" s="284" t="s">
        <v>439</v>
      </c>
      <c r="G2" s="286" t="s">
        <v>30</v>
      </c>
      <c r="H2" s="20"/>
    </row>
    <row r="3" spans="1:8" ht="30.75" customHeight="1">
      <c r="A3" s="256"/>
      <c r="B3" s="133" t="s">
        <v>438</v>
      </c>
      <c r="C3" s="133" t="s">
        <v>459</v>
      </c>
      <c r="D3" s="133" t="s">
        <v>438</v>
      </c>
      <c r="E3" s="133" t="s">
        <v>459</v>
      </c>
      <c r="F3" s="284"/>
      <c r="G3" s="286"/>
      <c r="H3" s="20"/>
    </row>
    <row r="4" spans="1:8" s="175" customFormat="1" ht="15" customHeight="1">
      <c r="A4" s="3" t="s">
        <v>250</v>
      </c>
      <c r="B4" s="182">
        <f>B63</f>
        <v>53</v>
      </c>
      <c r="C4" s="188">
        <f>C63</f>
        <v>8.5</v>
      </c>
      <c r="D4" s="181">
        <f>D63</f>
        <v>0</v>
      </c>
      <c r="E4" s="188">
        <f>E63</f>
        <v>0</v>
      </c>
      <c r="F4" s="183">
        <f>F63</f>
        <v>53</v>
      </c>
      <c r="G4" s="193">
        <f>F4/$F$13*100</f>
        <v>4.636920384951881</v>
      </c>
      <c r="H4" s="20"/>
    </row>
    <row r="5" spans="1:8" s="175" customFormat="1" ht="15" customHeight="1">
      <c r="A5" s="3" t="s">
        <v>251</v>
      </c>
      <c r="B5" s="184">
        <f>B86</f>
        <v>73</v>
      </c>
      <c r="C5" s="189">
        <f>C86</f>
        <v>8.456410256410255</v>
      </c>
      <c r="D5" s="177">
        <f>D86</f>
        <v>18</v>
      </c>
      <c r="E5" s="189">
        <f>E86</f>
        <v>6.5625</v>
      </c>
      <c r="F5" s="185">
        <f>F86</f>
        <v>91</v>
      </c>
      <c r="G5" s="194">
        <f aca="true" t="shared" si="0" ref="G5:G13">F5/$F$13*100</f>
        <v>7.961504811898513</v>
      </c>
      <c r="H5" s="20"/>
    </row>
    <row r="6" spans="1:8" s="175" customFormat="1" ht="15" customHeight="1">
      <c r="A6" s="3" t="s">
        <v>252</v>
      </c>
      <c r="B6" s="184">
        <f>B118</f>
        <v>124</v>
      </c>
      <c r="C6" s="189">
        <f>C118</f>
        <v>8.088333333333333</v>
      </c>
      <c r="D6" s="177">
        <f>D118</f>
        <v>26</v>
      </c>
      <c r="E6" s="189">
        <f>E118</f>
        <v>5.3125</v>
      </c>
      <c r="F6" s="185">
        <f>F118</f>
        <v>150</v>
      </c>
      <c r="G6" s="194">
        <f t="shared" si="0"/>
        <v>13.123359580052494</v>
      </c>
      <c r="H6" s="20"/>
    </row>
    <row r="7" spans="1:8" s="175" customFormat="1" ht="15" customHeight="1">
      <c r="A7" s="3" t="s">
        <v>253</v>
      </c>
      <c r="B7" s="184">
        <f>B159</f>
        <v>172</v>
      </c>
      <c r="C7" s="189">
        <f>C159</f>
        <v>8.336309523809524</v>
      </c>
      <c r="D7" s="177">
        <f>D159</f>
        <v>30</v>
      </c>
      <c r="E7" s="189">
        <f>E159</f>
        <v>5.21875</v>
      </c>
      <c r="F7" s="185">
        <f>F159</f>
        <v>202</v>
      </c>
      <c r="G7" s="194">
        <f t="shared" si="0"/>
        <v>17.672790901137358</v>
      </c>
      <c r="H7" s="20"/>
    </row>
    <row r="8" spans="1:8" s="175" customFormat="1" ht="15" customHeight="1">
      <c r="A8" s="3" t="s">
        <v>254</v>
      </c>
      <c r="B8" s="184">
        <f>B211</f>
        <v>314</v>
      </c>
      <c r="C8" s="189">
        <f>C211</f>
        <v>9.21875</v>
      </c>
      <c r="D8" s="177">
        <f>D211</f>
        <v>29</v>
      </c>
      <c r="E8" s="189">
        <f>E211</f>
        <v>5.857843137254902</v>
      </c>
      <c r="F8" s="185">
        <f>F211</f>
        <v>343</v>
      </c>
      <c r="G8" s="194">
        <f t="shared" si="0"/>
        <v>30.0087489063867</v>
      </c>
      <c r="H8" s="20"/>
    </row>
    <row r="9" spans="1:8" s="175" customFormat="1" ht="15" customHeight="1">
      <c r="A9" s="3" t="s">
        <v>255</v>
      </c>
      <c r="B9" s="184">
        <f>B234</f>
        <v>92</v>
      </c>
      <c r="C9" s="189">
        <f>C234</f>
        <v>9.166666666666666</v>
      </c>
      <c r="D9" s="177">
        <f>D234</f>
        <v>2</v>
      </c>
      <c r="E9" s="189">
        <f>E234</f>
        <v>5.5</v>
      </c>
      <c r="F9" s="185">
        <f>F234</f>
        <v>94</v>
      </c>
      <c r="G9" s="194">
        <f t="shared" si="0"/>
        <v>8.223972003499561</v>
      </c>
      <c r="H9" s="20"/>
    </row>
    <row r="10" spans="1:8" s="175" customFormat="1" ht="15" customHeight="1">
      <c r="A10" s="3" t="s">
        <v>256</v>
      </c>
      <c r="B10" s="184">
        <f>B254</f>
        <v>67</v>
      </c>
      <c r="C10" s="189">
        <f>C254</f>
        <v>9.227430555555555</v>
      </c>
      <c r="D10" s="177">
        <f>D254</f>
        <v>11</v>
      </c>
      <c r="E10" s="189">
        <f>E254</f>
        <v>6</v>
      </c>
      <c r="F10" s="185">
        <f>F254</f>
        <v>78</v>
      </c>
      <c r="G10" s="194">
        <f t="shared" si="0"/>
        <v>6.824146981627297</v>
      </c>
      <c r="H10" s="20"/>
    </row>
    <row r="11" spans="1:7" s="175" customFormat="1" ht="15" customHeight="1">
      <c r="A11" s="3" t="s">
        <v>257</v>
      </c>
      <c r="B11" s="184">
        <f>B271</f>
        <v>65</v>
      </c>
      <c r="C11" s="189">
        <f>C271</f>
        <v>8.558862433862434</v>
      </c>
      <c r="D11" s="177">
        <f>D271</f>
        <v>6</v>
      </c>
      <c r="E11" s="189">
        <f>E271</f>
        <v>5.708333333333333</v>
      </c>
      <c r="F11" s="185">
        <f>F271</f>
        <v>71</v>
      </c>
      <c r="G11" s="194">
        <f t="shared" si="0"/>
        <v>6.21172353455818</v>
      </c>
    </row>
    <row r="12" spans="1:7" s="175" customFormat="1" ht="15" customHeight="1">
      <c r="A12" s="3" t="s">
        <v>258</v>
      </c>
      <c r="B12" s="186">
        <f>B285</f>
        <v>54</v>
      </c>
      <c r="C12" s="190">
        <f>C285</f>
        <v>8.041666666666666</v>
      </c>
      <c r="D12" s="178">
        <f>D285</f>
        <v>7</v>
      </c>
      <c r="E12" s="190">
        <f>E285</f>
        <v>5.333333333333333</v>
      </c>
      <c r="F12" s="187">
        <f>F285</f>
        <v>61</v>
      </c>
      <c r="G12" s="195">
        <f t="shared" si="0"/>
        <v>5.336832895888014</v>
      </c>
    </row>
    <row r="13" spans="1:7" s="176" customFormat="1" ht="15" customHeight="1">
      <c r="A13" s="4" t="s">
        <v>259</v>
      </c>
      <c r="B13" s="179">
        <f>SUM(B4:B12)</f>
        <v>1014</v>
      </c>
      <c r="C13" s="191">
        <f>SUM(C4:C12)/9</f>
        <v>8.621603270700493</v>
      </c>
      <c r="D13" s="179">
        <f>SUM(D4:D12)</f>
        <v>129</v>
      </c>
      <c r="E13" s="191">
        <f>SUM(E4:E12)/8</f>
        <v>5.686657475490197</v>
      </c>
      <c r="F13" s="179">
        <f>SUM(F4:F12)</f>
        <v>1143</v>
      </c>
      <c r="G13" s="191">
        <f t="shared" si="0"/>
        <v>100</v>
      </c>
    </row>
    <row r="15" ht="10.5">
      <c r="A15" s="124" t="s">
        <v>25</v>
      </c>
    </row>
    <row r="21" spans="3:4" ht="27">
      <c r="C21" s="133" t="s">
        <v>26</v>
      </c>
      <c r="D21" s="133" t="s">
        <v>27</v>
      </c>
    </row>
    <row r="22" spans="2:4" ht="11.25">
      <c r="B22" s="192" t="s">
        <v>250</v>
      </c>
      <c r="C22" s="182">
        <f aca="true" t="shared" si="1" ref="C22:C30">B4</f>
        <v>53</v>
      </c>
      <c r="D22" s="174">
        <f aca="true" t="shared" si="2" ref="D22:D30">D4</f>
        <v>0</v>
      </c>
    </row>
    <row r="23" spans="2:4" ht="11.25">
      <c r="B23" s="192" t="s">
        <v>251</v>
      </c>
      <c r="C23" s="182">
        <f t="shared" si="1"/>
        <v>73</v>
      </c>
      <c r="D23" s="174">
        <f t="shared" si="2"/>
        <v>18</v>
      </c>
    </row>
    <row r="24" spans="2:4" ht="11.25">
      <c r="B24" s="192" t="s">
        <v>252</v>
      </c>
      <c r="C24" s="182">
        <f t="shared" si="1"/>
        <v>124</v>
      </c>
      <c r="D24" s="174">
        <f t="shared" si="2"/>
        <v>26</v>
      </c>
    </row>
    <row r="25" spans="2:4" ht="11.25">
      <c r="B25" s="192" t="s">
        <v>253</v>
      </c>
      <c r="C25" s="182">
        <f t="shared" si="1"/>
        <v>172</v>
      </c>
      <c r="D25" s="174">
        <f t="shared" si="2"/>
        <v>30</v>
      </c>
    </row>
    <row r="26" spans="2:4" ht="11.25">
      <c r="B26" s="192" t="s">
        <v>254</v>
      </c>
      <c r="C26" s="182">
        <f t="shared" si="1"/>
        <v>314</v>
      </c>
      <c r="D26" s="174">
        <f t="shared" si="2"/>
        <v>29</v>
      </c>
    </row>
    <row r="27" spans="2:4" ht="11.25">
      <c r="B27" s="192" t="s">
        <v>255</v>
      </c>
      <c r="C27" s="182">
        <f t="shared" si="1"/>
        <v>92</v>
      </c>
      <c r="D27" s="174">
        <f t="shared" si="2"/>
        <v>2</v>
      </c>
    </row>
    <row r="28" spans="2:4" ht="11.25">
      <c r="B28" s="192" t="s">
        <v>256</v>
      </c>
      <c r="C28" s="182">
        <f t="shared" si="1"/>
        <v>67</v>
      </c>
      <c r="D28" s="174">
        <f t="shared" si="2"/>
        <v>11</v>
      </c>
    </row>
    <row r="29" spans="2:4" ht="11.25">
      <c r="B29" s="192" t="s">
        <v>257</v>
      </c>
      <c r="C29" s="182">
        <f t="shared" si="1"/>
        <v>65</v>
      </c>
      <c r="D29" s="174">
        <f t="shared" si="2"/>
        <v>6</v>
      </c>
    </row>
    <row r="30" spans="2:4" ht="11.25">
      <c r="B30" s="192" t="s">
        <v>258</v>
      </c>
      <c r="C30" s="182">
        <f t="shared" si="1"/>
        <v>54</v>
      </c>
      <c r="D30" s="174">
        <f t="shared" si="2"/>
        <v>7</v>
      </c>
    </row>
    <row r="49" spans="1:8" ht="27" customHeight="1">
      <c r="A49" s="285" t="s">
        <v>272</v>
      </c>
      <c r="B49" s="285"/>
      <c r="C49" s="285"/>
      <c r="D49" s="285"/>
      <c r="E49" s="285"/>
      <c r="F49" s="285"/>
      <c r="G49" s="285"/>
      <c r="H49" s="180"/>
    </row>
    <row r="51" spans="1:7" s="11" customFormat="1" ht="60.75" customHeight="1">
      <c r="A51" s="24" t="s">
        <v>446</v>
      </c>
      <c r="B51" s="282" t="s">
        <v>451</v>
      </c>
      <c r="C51" s="282"/>
      <c r="D51" s="282"/>
      <c r="E51" s="282"/>
      <c r="F51" s="282"/>
      <c r="G51" s="122"/>
    </row>
    <row r="52" spans="1:6" s="11" customFormat="1" ht="39" customHeight="1">
      <c r="A52" s="287" t="s">
        <v>269</v>
      </c>
      <c r="B52" s="278" t="s">
        <v>460</v>
      </c>
      <c r="C52" s="279"/>
      <c r="D52" s="278" t="s">
        <v>461</v>
      </c>
      <c r="E52" s="279"/>
      <c r="F52" s="280" t="s">
        <v>439</v>
      </c>
    </row>
    <row r="53" spans="1:6" ht="24" customHeight="1">
      <c r="A53" s="287"/>
      <c r="B53" s="132" t="s">
        <v>438</v>
      </c>
      <c r="C53" s="133" t="s">
        <v>459</v>
      </c>
      <c r="D53" s="132" t="s">
        <v>438</v>
      </c>
      <c r="E53" s="133" t="s">
        <v>459</v>
      </c>
      <c r="F53" s="281"/>
    </row>
    <row r="54" spans="1:7" ht="18" customHeight="1">
      <c r="A54" s="127" t="s">
        <v>186</v>
      </c>
      <c r="B54" s="131">
        <v>2</v>
      </c>
      <c r="C54" s="146">
        <v>8</v>
      </c>
      <c r="D54" s="131">
        <v>0</v>
      </c>
      <c r="E54" s="146">
        <v>0</v>
      </c>
      <c r="F54" s="134">
        <f>B54+D54</f>
        <v>2</v>
      </c>
      <c r="G54" s="122"/>
    </row>
    <row r="55" spans="1:7" ht="18" customHeight="1">
      <c r="A55" s="127" t="s">
        <v>187</v>
      </c>
      <c r="B55" s="131">
        <v>3</v>
      </c>
      <c r="C55" s="146">
        <v>10</v>
      </c>
      <c r="D55" s="131">
        <v>0</v>
      </c>
      <c r="E55" s="146">
        <v>0</v>
      </c>
      <c r="F55" s="134">
        <f aca="true" t="shared" si="3" ref="F55:F63">B55+D55</f>
        <v>3</v>
      </c>
      <c r="G55" s="122"/>
    </row>
    <row r="56" spans="1:7" ht="18" customHeight="1">
      <c r="A56" s="127" t="s">
        <v>188</v>
      </c>
      <c r="B56" s="131">
        <v>1</v>
      </c>
      <c r="C56" s="146">
        <v>8.5</v>
      </c>
      <c r="D56" s="131">
        <v>0</v>
      </c>
      <c r="E56" s="146">
        <v>0</v>
      </c>
      <c r="F56" s="134">
        <f t="shared" si="3"/>
        <v>1</v>
      </c>
      <c r="G56" s="122"/>
    </row>
    <row r="57" spans="1:7" ht="18" customHeight="1">
      <c r="A57" s="127" t="s">
        <v>189</v>
      </c>
      <c r="B57" s="131">
        <v>4</v>
      </c>
      <c r="C57" s="146">
        <v>8</v>
      </c>
      <c r="D57" s="131">
        <v>0</v>
      </c>
      <c r="E57" s="146">
        <v>0</v>
      </c>
      <c r="F57" s="134">
        <f t="shared" si="3"/>
        <v>4</v>
      </c>
      <c r="G57" s="122"/>
    </row>
    <row r="58" spans="1:7" ht="18" customHeight="1">
      <c r="A58" s="127" t="s">
        <v>190</v>
      </c>
      <c r="B58" s="131">
        <v>3</v>
      </c>
      <c r="C58" s="146">
        <v>9</v>
      </c>
      <c r="D58" s="131">
        <v>0</v>
      </c>
      <c r="E58" s="146">
        <v>0</v>
      </c>
      <c r="F58" s="134">
        <f t="shared" si="3"/>
        <v>3</v>
      </c>
      <c r="G58" s="122"/>
    </row>
    <row r="59" spans="1:7" ht="18" customHeight="1">
      <c r="A59" s="127" t="s">
        <v>191</v>
      </c>
      <c r="B59" s="131">
        <v>3</v>
      </c>
      <c r="C59" s="146">
        <v>10</v>
      </c>
      <c r="D59" s="131">
        <v>0</v>
      </c>
      <c r="E59" s="146">
        <v>0</v>
      </c>
      <c r="F59" s="134">
        <f t="shared" si="3"/>
        <v>3</v>
      </c>
      <c r="G59" s="122"/>
    </row>
    <row r="60" spans="1:7" ht="18" customHeight="1">
      <c r="A60" s="127" t="s">
        <v>250</v>
      </c>
      <c r="B60" s="131">
        <v>29</v>
      </c>
      <c r="C60" s="146">
        <v>8</v>
      </c>
      <c r="D60" s="131">
        <v>0</v>
      </c>
      <c r="E60" s="146">
        <v>0</v>
      </c>
      <c r="F60" s="134">
        <f t="shared" si="3"/>
        <v>29</v>
      </c>
      <c r="G60" s="122"/>
    </row>
    <row r="61" spans="1:7" ht="18" customHeight="1">
      <c r="A61" s="127" t="s">
        <v>196</v>
      </c>
      <c r="B61" s="131">
        <v>5</v>
      </c>
      <c r="C61" s="146">
        <v>7.5</v>
      </c>
      <c r="D61" s="131">
        <v>0</v>
      </c>
      <c r="E61" s="146">
        <v>0</v>
      </c>
      <c r="F61" s="134">
        <f t="shared" si="3"/>
        <v>5</v>
      </c>
      <c r="G61" s="122"/>
    </row>
    <row r="62" spans="1:7" ht="18" customHeight="1">
      <c r="A62" s="127" t="s">
        <v>198</v>
      </c>
      <c r="B62" s="131">
        <v>3</v>
      </c>
      <c r="C62" s="146">
        <v>7.5</v>
      </c>
      <c r="D62" s="131">
        <v>0</v>
      </c>
      <c r="E62" s="146">
        <v>0</v>
      </c>
      <c r="F62" s="134">
        <f t="shared" si="3"/>
        <v>3</v>
      </c>
      <c r="G62" s="122"/>
    </row>
    <row r="63" spans="1:7" ht="28.5" customHeight="1">
      <c r="A63" s="30" t="s">
        <v>270</v>
      </c>
      <c r="B63" s="129">
        <f>SUM(B54:B62)</f>
        <v>53</v>
      </c>
      <c r="C63" s="147">
        <f>SUM(C54:C62)/9</f>
        <v>8.5</v>
      </c>
      <c r="D63" s="129">
        <f>SUM(D54:D62)</f>
        <v>0</v>
      </c>
      <c r="E63" s="147">
        <f>SUM(E54:E62)</f>
        <v>0</v>
      </c>
      <c r="F63" s="130">
        <f t="shared" si="3"/>
        <v>53</v>
      </c>
      <c r="G63" s="122"/>
    </row>
    <row r="65" ht="18" customHeight="1">
      <c r="A65" s="219" t="s">
        <v>51</v>
      </c>
    </row>
    <row r="66" ht="19.5" customHeight="1">
      <c r="A66" s="219" t="s">
        <v>52</v>
      </c>
    </row>
    <row r="68" spans="1:7" s="11" customFormat="1" ht="60.75" customHeight="1">
      <c r="A68" s="24" t="s">
        <v>446</v>
      </c>
      <c r="B68" s="248" t="s">
        <v>450</v>
      </c>
      <c r="C68" s="249"/>
      <c r="D68" s="249"/>
      <c r="E68" s="249"/>
      <c r="F68" s="250"/>
      <c r="G68" s="25"/>
    </row>
    <row r="69" spans="1:6" s="11" customFormat="1" ht="39" customHeight="1">
      <c r="A69" s="287" t="s">
        <v>269</v>
      </c>
      <c r="B69" s="278" t="s">
        <v>460</v>
      </c>
      <c r="C69" s="279"/>
      <c r="D69" s="278" t="s">
        <v>461</v>
      </c>
      <c r="E69" s="279"/>
      <c r="F69" s="280" t="s">
        <v>439</v>
      </c>
    </row>
    <row r="70" spans="1:6" ht="24" customHeight="1">
      <c r="A70" s="287"/>
      <c r="B70" s="132" t="s">
        <v>438</v>
      </c>
      <c r="C70" s="133" t="s">
        <v>459</v>
      </c>
      <c r="D70" s="132" t="s">
        <v>438</v>
      </c>
      <c r="E70" s="133" t="s">
        <v>459</v>
      </c>
      <c r="F70" s="281"/>
    </row>
    <row r="71" spans="1:7" ht="18" customHeight="1">
      <c r="A71" s="127" t="s">
        <v>200</v>
      </c>
      <c r="B71" s="131">
        <v>4</v>
      </c>
      <c r="C71" s="146">
        <v>8.5</v>
      </c>
      <c r="D71" s="131">
        <v>0</v>
      </c>
      <c r="E71" s="146">
        <v>0</v>
      </c>
      <c r="F71" s="134">
        <f>B71+D71</f>
        <v>4</v>
      </c>
      <c r="G71" s="122"/>
    </row>
    <row r="72" spans="1:7" ht="18" customHeight="1">
      <c r="A72" s="127" t="s">
        <v>201</v>
      </c>
      <c r="B72" s="131">
        <v>2</v>
      </c>
      <c r="C72" s="146">
        <v>8.5</v>
      </c>
      <c r="D72" s="131">
        <v>0</v>
      </c>
      <c r="E72" s="146">
        <v>0</v>
      </c>
      <c r="F72" s="134">
        <f aca="true" t="shared" si="4" ref="F72:F86">B72+D72</f>
        <v>2</v>
      </c>
      <c r="G72" s="122"/>
    </row>
    <row r="73" spans="1:7" ht="18" customHeight="1">
      <c r="A73" s="127" t="s">
        <v>202</v>
      </c>
      <c r="B73" s="131">
        <v>4</v>
      </c>
      <c r="C73" s="146">
        <v>8.5</v>
      </c>
      <c r="D73" s="131">
        <v>0</v>
      </c>
      <c r="E73" s="146">
        <v>0</v>
      </c>
      <c r="F73" s="134">
        <f t="shared" si="4"/>
        <v>4</v>
      </c>
      <c r="G73" s="122"/>
    </row>
    <row r="74" spans="1:7" ht="18" customHeight="1">
      <c r="A74" s="127" t="s">
        <v>204</v>
      </c>
      <c r="B74" s="131">
        <v>4</v>
      </c>
      <c r="C74" s="146">
        <v>8</v>
      </c>
      <c r="D74" s="131">
        <v>0</v>
      </c>
      <c r="E74" s="146">
        <v>0</v>
      </c>
      <c r="F74" s="134">
        <f t="shared" si="4"/>
        <v>4</v>
      </c>
      <c r="G74" s="122"/>
    </row>
    <row r="75" spans="1:7" ht="18" customHeight="1">
      <c r="A75" s="127" t="s">
        <v>205</v>
      </c>
      <c r="B75" s="131">
        <v>4</v>
      </c>
      <c r="C75" s="146">
        <v>8</v>
      </c>
      <c r="D75" s="131">
        <v>0</v>
      </c>
      <c r="E75" s="146">
        <v>0</v>
      </c>
      <c r="F75" s="134">
        <f t="shared" si="4"/>
        <v>4</v>
      </c>
      <c r="G75" s="122"/>
    </row>
    <row r="76" spans="1:7" ht="18" customHeight="1">
      <c r="A76" s="127" t="s">
        <v>206</v>
      </c>
      <c r="B76" s="131">
        <v>2</v>
      </c>
      <c r="C76" s="146">
        <v>8</v>
      </c>
      <c r="D76" s="131">
        <v>0</v>
      </c>
      <c r="E76" s="146">
        <v>0</v>
      </c>
      <c r="F76" s="134">
        <f t="shared" si="4"/>
        <v>2</v>
      </c>
      <c r="G76" s="122"/>
    </row>
    <row r="77" spans="1:7" ht="18" customHeight="1">
      <c r="A77" s="127" t="s">
        <v>207</v>
      </c>
      <c r="B77" s="131">
        <v>3</v>
      </c>
      <c r="C77" s="146">
        <v>8.5</v>
      </c>
      <c r="D77" s="131">
        <v>0</v>
      </c>
      <c r="E77" s="146">
        <v>0</v>
      </c>
      <c r="F77" s="134">
        <f t="shared" si="4"/>
        <v>3</v>
      </c>
      <c r="G77" s="122"/>
    </row>
    <row r="78" spans="1:7" ht="18" customHeight="1">
      <c r="A78" s="127" t="s">
        <v>208</v>
      </c>
      <c r="B78" s="131">
        <v>0</v>
      </c>
      <c r="C78" s="146">
        <v>0</v>
      </c>
      <c r="D78" s="131">
        <v>1</v>
      </c>
      <c r="E78" s="146">
        <v>7.5</v>
      </c>
      <c r="F78" s="134">
        <f t="shared" si="4"/>
        <v>1</v>
      </c>
      <c r="G78" s="122"/>
    </row>
    <row r="79" spans="1:7" ht="18" customHeight="1">
      <c r="A79" s="127" t="s">
        <v>210</v>
      </c>
      <c r="B79" s="131">
        <v>3</v>
      </c>
      <c r="C79" s="146">
        <v>8.5</v>
      </c>
      <c r="D79" s="131">
        <v>1</v>
      </c>
      <c r="E79" s="146">
        <v>6</v>
      </c>
      <c r="F79" s="134">
        <f t="shared" si="4"/>
        <v>4</v>
      </c>
      <c r="G79" s="122"/>
    </row>
    <row r="80" spans="1:7" ht="18" customHeight="1">
      <c r="A80" s="127" t="s">
        <v>374</v>
      </c>
      <c r="B80" s="131">
        <v>0</v>
      </c>
      <c r="C80" s="146">
        <v>0</v>
      </c>
      <c r="D80" s="131">
        <v>2</v>
      </c>
      <c r="E80" s="146">
        <v>6.25</v>
      </c>
      <c r="F80" s="134">
        <f t="shared" si="4"/>
        <v>2</v>
      </c>
      <c r="G80" s="122"/>
    </row>
    <row r="81" spans="1:7" ht="18" customHeight="1">
      <c r="A81" s="127" t="s">
        <v>211</v>
      </c>
      <c r="B81" s="131">
        <v>3</v>
      </c>
      <c r="C81" s="146">
        <v>8.833333333333332</v>
      </c>
      <c r="D81" s="131">
        <v>0</v>
      </c>
      <c r="E81" s="146">
        <v>0</v>
      </c>
      <c r="F81" s="134">
        <f t="shared" si="4"/>
        <v>3</v>
      </c>
      <c r="G81" s="122"/>
    </row>
    <row r="82" spans="1:7" ht="18" customHeight="1">
      <c r="A82" s="127" t="s">
        <v>251</v>
      </c>
      <c r="B82" s="131">
        <v>32</v>
      </c>
      <c r="C82" s="146">
        <v>10.1</v>
      </c>
      <c r="D82" s="131">
        <v>14</v>
      </c>
      <c r="E82" s="146">
        <v>6.5</v>
      </c>
      <c r="F82" s="134">
        <f t="shared" si="4"/>
        <v>46</v>
      </c>
      <c r="G82" s="122"/>
    </row>
    <row r="83" spans="1:7" ht="18" customHeight="1">
      <c r="A83" s="127" t="s">
        <v>212</v>
      </c>
      <c r="B83" s="131">
        <v>4</v>
      </c>
      <c r="C83" s="146">
        <v>8.5</v>
      </c>
      <c r="D83" s="131">
        <v>0</v>
      </c>
      <c r="E83" s="146">
        <v>0</v>
      </c>
      <c r="F83" s="134">
        <f t="shared" si="4"/>
        <v>4</v>
      </c>
      <c r="G83" s="122"/>
    </row>
    <row r="84" spans="1:7" ht="18" customHeight="1">
      <c r="A84" s="127" t="s">
        <v>214</v>
      </c>
      <c r="B84" s="131">
        <v>4</v>
      </c>
      <c r="C84" s="146">
        <v>8</v>
      </c>
      <c r="D84" s="131">
        <v>0</v>
      </c>
      <c r="E84" s="146">
        <v>0</v>
      </c>
      <c r="F84" s="134">
        <f t="shared" si="4"/>
        <v>4</v>
      </c>
      <c r="G84" s="122"/>
    </row>
    <row r="85" spans="1:7" ht="18" customHeight="1">
      <c r="A85" s="127" t="s">
        <v>216</v>
      </c>
      <c r="B85" s="131">
        <v>4</v>
      </c>
      <c r="C85" s="146">
        <v>8</v>
      </c>
      <c r="D85" s="131">
        <v>0</v>
      </c>
      <c r="E85" s="146">
        <v>0</v>
      </c>
      <c r="F85" s="134">
        <f t="shared" si="4"/>
        <v>4</v>
      </c>
      <c r="G85" s="122"/>
    </row>
    <row r="86" spans="1:7" ht="28.5" customHeight="1">
      <c r="A86" s="30" t="s">
        <v>271</v>
      </c>
      <c r="B86" s="129">
        <v>73</v>
      </c>
      <c r="C86" s="147">
        <f>SUM(C71:C85)/13</f>
        <v>8.456410256410255</v>
      </c>
      <c r="D86" s="129">
        <v>18</v>
      </c>
      <c r="E86" s="147">
        <f>SUM(E71:E85)/4</f>
        <v>6.5625</v>
      </c>
      <c r="F86" s="130">
        <f t="shared" si="4"/>
        <v>91</v>
      </c>
      <c r="G86" s="122"/>
    </row>
    <row r="87" ht="12" customHeight="1">
      <c r="A87" s="50"/>
    </row>
    <row r="89" spans="1:7" s="11" customFormat="1" ht="60.75" customHeight="1">
      <c r="A89" s="24" t="s">
        <v>446</v>
      </c>
      <c r="B89" s="282" t="s">
        <v>449</v>
      </c>
      <c r="C89" s="282"/>
      <c r="D89" s="282"/>
      <c r="E89" s="282"/>
      <c r="F89" s="282"/>
      <c r="G89" s="25"/>
    </row>
    <row r="90" spans="1:6" s="11" customFormat="1" ht="39" customHeight="1">
      <c r="A90" s="283" t="s">
        <v>269</v>
      </c>
      <c r="B90" s="246" t="s">
        <v>460</v>
      </c>
      <c r="C90" s="246"/>
      <c r="D90" s="246" t="s">
        <v>461</v>
      </c>
      <c r="E90" s="246"/>
      <c r="F90" s="284" t="s">
        <v>439</v>
      </c>
    </row>
    <row r="91" spans="1:6" ht="24" customHeight="1">
      <c r="A91" s="283"/>
      <c r="B91" s="133" t="s">
        <v>438</v>
      </c>
      <c r="C91" s="133" t="s">
        <v>459</v>
      </c>
      <c r="D91" s="133" t="s">
        <v>438</v>
      </c>
      <c r="E91" s="133" t="s">
        <v>459</v>
      </c>
      <c r="F91" s="284"/>
    </row>
    <row r="92" spans="1:7" ht="18" customHeight="1">
      <c r="A92" s="165" t="s">
        <v>217</v>
      </c>
      <c r="B92" s="131">
        <v>4</v>
      </c>
      <c r="C92" s="146">
        <v>8</v>
      </c>
      <c r="D92" s="131">
        <v>1</v>
      </c>
      <c r="E92" s="146">
        <v>5.5</v>
      </c>
      <c r="F92" s="134">
        <f>B92+D92</f>
        <v>5</v>
      </c>
      <c r="G92" s="122"/>
    </row>
    <row r="93" spans="1:7" ht="18" customHeight="1">
      <c r="A93" s="127" t="s">
        <v>218</v>
      </c>
      <c r="B93" s="131">
        <v>2</v>
      </c>
      <c r="C93" s="146">
        <v>8.5</v>
      </c>
      <c r="D93" s="131">
        <v>0</v>
      </c>
      <c r="E93" s="146">
        <v>0</v>
      </c>
      <c r="F93" s="134">
        <f aca="true" t="shared" si="5" ref="F93:F118">B93+D93</f>
        <v>2</v>
      </c>
      <c r="G93" s="122"/>
    </row>
    <row r="94" spans="1:7" ht="18" customHeight="1">
      <c r="A94" s="127" t="s">
        <v>220</v>
      </c>
      <c r="B94" s="131">
        <v>3</v>
      </c>
      <c r="C94" s="146">
        <v>8.5</v>
      </c>
      <c r="D94" s="131">
        <v>0</v>
      </c>
      <c r="E94" s="146">
        <v>0</v>
      </c>
      <c r="F94" s="134">
        <f t="shared" si="5"/>
        <v>3</v>
      </c>
      <c r="G94" s="122"/>
    </row>
    <row r="95" spans="1:7" ht="18" customHeight="1">
      <c r="A95" s="127" t="s">
        <v>221</v>
      </c>
      <c r="B95" s="131">
        <v>3</v>
      </c>
      <c r="C95" s="146">
        <v>8</v>
      </c>
      <c r="D95" s="131">
        <v>0</v>
      </c>
      <c r="E95" s="146">
        <v>0</v>
      </c>
      <c r="F95" s="134">
        <f t="shared" si="5"/>
        <v>3</v>
      </c>
      <c r="G95" s="122"/>
    </row>
    <row r="96" spans="1:9" ht="18" customHeight="1">
      <c r="A96" s="127" t="s">
        <v>222</v>
      </c>
      <c r="B96" s="131">
        <v>3</v>
      </c>
      <c r="C96" s="146">
        <v>7.333333333333332</v>
      </c>
      <c r="D96" s="131">
        <v>0</v>
      </c>
      <c r="E96" s="146">
        <v>0</v>
      </c>
      <c r="F96" s="134">
        <f t="shared" si="5"/>
        <v>3</v>
      </c>
      <c r="G96" s="122"/>
      <c r="I96" s="122"/>
    </row>
    <row r="97" spans="1:9" ht="18" customHeight="1">
      <c r="A97" s="127" t="s">
        <v>277</v>
      </c>
      <c r="B97" s="131">
        <v>2</v>
      </c>
      <c r="C97" s="146">
        <v>8.5</v>
      </c>
      <c r="D97" s="131">
        <v>0</v>
      </c>
      <c r="E97" s="146">
        <v>0</v>
      </c>
      <c r="F97" s="134">
        <f t="shared" si="5"/>
        <v>2</v>
      </c>
      <c r="G97" s="122"/>
      <c r="I97" s="122"/>
    </row>
    <row r="98" spans="1:9" ht="18" customHeight="1">
      <c r="A98" s="127" t="s">
        <v>279</v>
      </c>
      <c r="B98" s="131">
        <v>6</v>
      </c>
      <c r="C98" s="146">
        <v>7</v>
      </c>
      <c r="D98" s="131">
        <v>1</v>
      </c>
      <c r="E98" s="146">
        <v>4</v>
      </c>
      <c r="F98" s="134">
        <f t="shared" si="5"/>
        <v>7</v>
      </c>
      <c r="G98" s="122"/>
      <c r="I98" s="122"/>
    </row>
    <row r="99" spans="1:9" ht="18" customHeight="1">
      <c r="A99" s="127" t="s">
        <v>280</v>
      </c>
      <c r="B99" s="131">
        <v>4</v>
      </c>
      <c r="C99" s="146">
        <v>8</v>
      </c>
      <c r="D99" s="131">
        <v>1</v>
      </c>
      <c r="E99" s="146">
        <v>5.5</v>
      </c>
      <c r="F99" s="134">
        <f t="shared" si="5"/>
        <v>5</v>
      </c>
      <c r="G99" s="122"/>
      <c r="I99" s="122"/>
    </row>
    <row r="100" spans="1:9" ht="18" customHeight="1">
      <c r="A100" s="127" t="s">
        <v>281</v>
      </c>
      <c r="B100" s="131">
        <v>0</v>
      </c>
      <c r="C100" s="146">
        <v>0</v>
      </c>
      <c r="D100" s="131">
        <v>1</v>
      </c>
      <c r="E100" s="146">
        <v>6</v>
      </c>
      <c r="F100" s="134">
        <f t="shared" si="5"/>
        <v>1</v>
      </c>
      <c r="G100" s="122"/>
      <c r="I100" s="122"/>
    </row>
    <row r="101" spans="1:7" ht="18" customHeight="1">
      <c r="A101" s="127" t="s">
        <v>282</v>
      </c>
      <c r="B101" s="131">
        <v>3</v>
      </c>
      <c r="C101" s="146">
        <v>8.25</v>
      </c>
      <c r="D101" s="131">
        <v>0</v>
      </c>
      <c r="E101" s="146">
        <v>0</v>
      </c>
      <c r="F101" s="134">
        <f t="shared" si="5"/>
        <v>3</v>
      </c>
      <c r="G101" s="122"/>
    </row>
    <row r="102" spans="1:7" ht="18" customHeight="1">
      <c r="A102" s="127" t="s">
        <v>283</v>
      </c>
      <c r="B102" s="131">
        <v>3</v>
      </c>
      <c r="C102" s="146">
        <v>8</v>
      </c>
      <c r="D102" s="131">
        <v>1</v>
      </c>
      <c r="E102" s="146">
        <v>5.5</v>
      </c>
      <c r="F102" s="134">
        <f t="shared" si="5"/>
        <v>4</v>
      </c>
      <c r="G102" s="122"/>
    </row>
    <row r="103" spans="1:7" ht="18" customHeight="1">
      <c r="A103" s="127" t="s">
        <v>284</v>
      </c>
      <c r="B103" s="131">
        <v>8</v>
      </c>
      <c r="C103" s="146">
        <v>8.5</v>
      </c>
      <c r="D103" s="131">
        <v>2</v>
      </c>
      <c r="E103" s="146">
        <v>6</v>
      </c>
      <c r="F103" s="134">
        <f t="shared" si="5"/>
        <v>10</v>
      </c>
      <c r="G103" s="122"/>
    </row>
    <row r="104" spans="1:7" ht="18" customHeight="1">
      <c r="A104" s="127" t="s">
        <v>285</v>
      </c>
      <c r="B104" s="131">
        <v>2</v>
      </c>
      <c r="C104" s="146">
        <v>8</v>
      </c>
      <c r="D104" s="131">
        <v>0</v>
      </c>
      <c r="E104" s="146">
        <v>0</v>
      </c>
      <c r="F104" s="134">
        <f t="shared" si="5"/>
        <v>2</v>
      </c>
      <c r="G104" s="122"/>
    </row>
    <row r="105" spans="1:7" ht="18" customHeight="1">
      <c r="A105" s="127" t="s">
        <v>287</v>
      </c>
      <c r="B105" s="131">
        <v>2</v>
      </c>
      <c r="C105" s="146">
        <v>8</v>
      </c>
      <c r="D105" s="131">
        <v>0</v>
      </c>
      <c r="E105" s="146">
        <v>0</v>
      </c>
      <c r="F105" s="134">
        <f t="shared" si="5"/>
        <v>2</v>
      </c>
      <c r="G105" s="122"/>
    </row>
    <row r="106" spans="1:7" ht="18" customHeight="1">
      <c r="A106" s="127" t="s">
        <v>288</v>
      </c>
      <c r="B106" s="131">
        <v>5</v>
      </c>
      <c r="C106" s="146">
        <v>8</v>
      </c>
      <c r="D106" s="131">
        <v>2</v>
      </c>
      <c r="E106" s="146">
        <v>5</v>
      </c>
      <c r="F106" s="134">
        <f t="shared" si="5"/>
        <v>7</v>
      </c>
      <c r="G106" s="122"/>
    </row>
    <row r="107" spans="1:7" ht="18" customHeight="1">
      <c r="A107" s="127" t="s">
        <v>289</v>
      </c>
      <c r="B107" s="131">
        <v>3</v>
      </c>
      <c r="C107" s="146">
        <v>7.5</v>
      </c>
      <c r="D107" s="131">
        <v>0</v>
      </c>
      <c r="E107" s="146">
        <v>0</v>
      </c>
      <c r="F107" s="134">
        <f t="shared" si="5"/>
        <v>3</v>
      </c>
      <c r="G107" s="122"/>
    </row>
    <row r="108" spans="1:7" ht="18" customHeight="1">
      <c r="A108" s="127" t="s">
        <v>290</v>
      </c>
      <c r="B108" s="131">
        <v>3</v>
      </c>
      <c r="C108" s="146">
        <v>8.25</v>
      </c>
      <c r="D108" s="131">
        <v>0</v>
      </c>
      <c r="E108" s="146">
        <v>0</v>
      </c>
      <c r="F108" s="134">
        <f t="shared" si="5"/>
        <v>3</v>
      </c>
      <c r="G108" s="122"/>
    </row>
    <row r="109" spans="1:7" ht="18" customHeight="1">
      <c r="A109" s="127" t="s">
        <v>291</v>
      </c>
      <c r="B109" s="131">
        <v>6</v>
      </c>
      <c r="C109" s="146">
        <v>8.5</v>
      </c>
      <c r="D109" s="131">
        <v>0</v>
      </c>
      <c r="E109" s="146">
        <v>0</v>
      </c>
      <c r="F109" s="134">
        <f t="shared" si="5"/>
        <v>6</v>
      </c>
      <c r="G109" s="122"/>
    </row>
    <row r="110" spans="1:7" ht="18" customHeight="1">
      <c r="A110" s="127" t="s">
        <v>292</v>
      </c>
      <c r="B110" s="131">
        <v>3</v>
      </c>
      <c r="C110" s="146">
        <v>8</v>
      </c>
      <c r="D110" s="131">
        <v>1</v>
      </c>
      <c r="E110" s="146">
        <v>5</v>
      </c>
      <c r="F110" s="134">
        <f t="shared" si="5"/>
        <v>4</v>
      </c>
      <c r="G110" s="122"/>
    </row>
    <row r="111" spans="1:7" ht="18" customHeight="1">
      <c r="A111" s="127" t="s">
        <v>293</v>
      </c>
      <c r="B111" s="131">
        <v>3</v>
      </c>
      <c r="C111" s="146">
        <v>8</v>
      </c>
      <c r="D111" s="131">
        <v>0</v>
      </c>
      <c r="E111" s="146">
        <v>0</v>
      </c>
      <c r="F111" s="134">
        <f t="shared" si="5"/>
        <v>3</v>
      </c>
      <c r="G111" s="122"/>
    </row>
    <row r="112" spans="1:7" ht="18" customHeight="1">
      <c r="A112" s="127" t="s">
        <v>294</v>
      </c>
      <c r="B112" s="131">
        <v>36</v>
      </c>
      <c r="C112" s="146">
        <v>8</v>
      </c>
      <c r="D112" s="131">
        <v>11</v>
      </c>
      <c r="E112" s="146">
        <v>5</v>
      </c>
      <c r="F112" s="134">
        <f t="shared" si="5"/>
        <v>47</v>
      </c>
      <c r="G112" s="122"/>
    </row>
    <row r="113" spans="1:7" ht="18" customHeight="1">
      <c r="A113" s="127" t="s">
        <v>295</v>
      </c>
      <c r="B113" s="131">
        <v>3</v>
      </c>
      <c r="C113" s="146">
        <v>7.75</v>
      </c>
      <c r="D113" s="131">
        <v>0</v>
      </c>
      <c r="E113" s="146">
        <v>0</v>
      </c>
      <c r="F113" s="134">
        <f t="shared" si="5"/>
        <v>3</v>
      </c>
      <c r="G113" s="122"/>
    </row>
    <row r="114" spans="1:7" ht="18" customHeight="1">
      <c r="A114" s="127" t="s">
        <v>298</v>
      </c>
      <c r="B114" s="131">
        <v>3</v>
      </c>
      <c r="C114" s="146">
        <v>8.25</v>
      </c>
      <c r="D114" s="131">
        <v>1</v>
      </c>
      <c r="E114" s="146">
        <v>6</v>
      </c>
      <c r="F114" s="134">
        <f t="shared" si="5"/>
        <v>4</v>
      </c>
      <c r="G114" s="122"/>
    </row>
    <row r="115" spans="1:7" ht="18" customHeight="1">
      <c r="A115" s="127" t="s">
        <v>299</v>
      </c>
      <c r="B115" s="131">
        <v>4</v>
      </c>
      <c r="C115" s="146">
        <v>7.5</v>
      </c>
      <c r="D115" s="131">
        <v>2</v>
      </c>
      <c r="E115" s="146">
        <v>5.5</v>
      </c>
      <c r="F115" s="134">
        <f t="shared" si="5"/>
        <v>6</v>
      </c>
      <c r="G115" s="122"/>
    </row>
    <row r="116" spans="1:7" ht="18" customHeight="1">
      <c r="A116" s="127" t="s">
        <v>300</v>
      </c>
      <c r="B116" s="131">
        <v>4</v>
      </c>
      <c r="C116" s="146">
        <v>9.875</v>
      </c>
      <c r="D116" s="131">
        <v>0</v>
      </c>
      <c r="E116" s="146">
        <v>0</v>
      </c>
      <c r="F116" s="134">
        <f t="shared" si="5"/>
        <v>4</v>
      </c>
      <c r="G116" s="122"/>
    </row>
    <row r="117" spans="1:7" ht="18" customHeight="1">
      <c r="A117" s="127" t="s">
        <v>301</v>
      </c>
      <c r="B117" s="131">
        <v>6</v>
      </c>
      <c r="C117" s="146">
        <v>8</v>
      </c>
      <c r="D117" s="131">
        <v>2</v>
      </c>
      <c r="E117" s="146">
        <v>4.75</v>
      </c>
      <c r="F117" s="134">
        <f t="shared" si="5"/>
        <v>8</v>
      </c>
      <c r="G117" s="122"/>
    </row>
    <row r="118" spans="1:7" ht="28.5" customHeight="1">
      <c r="A118" s="30" t="s">
        <v>223</v>
      </c>
      <c r="B118" s="129">
        <v>124</v>
      </c>
      <c r="C118" s="147">
        <f>SUM(C92:C117)/25</f>
        <v>8.088333333333333</v>
      </c>
      <c r="D118" s="129">
        <f>SUM(D92:D117)</f>
        <v>26</v>
      </c>
      <c r="E118" s="147">
        <f>SUM(E92:E117)/12</f>
        <v>5.3125</v>
      </c>
      <c r="F118" s="130">
        <f t="shared" si="5"/>
        <v>150</v>
      </c>
      <c r="G118" s="122"/>
    </row>
    <row r="119" ht="12.75">
      <c r="A119" s="50"/>
    </row>
    <row r="120" ht="18" customHeight="1">
      <c r="A120" s="219" t="s">
        <v>53</v>
      </c>
    </row>
    <row r="121" ht="18" customHeight="1">
      <c r="A121" s="219" t="s">
        <v>54</v>
      </c>
    </row>
    <row r="122" ht="18" customHeight="1">
      <c r="A122" s="219" t="s">
        <v>55</v>
      </c>
    </row>
    <row r="123" ht="18" customHeight="1">
      <c r="A123" s="219" t="s">
        <v>56</v>
      </c>
    </row>
    <row r="124" ht="18" customHeight="1">
      <c r="A124" s="219" t="s">
        <v>57</v>
      </c>
    </row>
    <row r="125" ht="12.75"/>
    <row r="127" spans="1:7" s="11" customFormat="1" ht="60.75" customHeight="1">
      <c r="A127" s="24" t="s">
        <v>446</v>
      </c>
      <c r="B127" s="282" t="s">
        <v>445</v>
      </c>
      <c r="C127" s="282"/>
      <c r="D127" s="282"/>
      <c r="E127" s="282"/>
      <c r="F127" s="282"/>
      <c r="G127" s="25"/>
    </row>
    <row r="128" spans="1:6" s="11" customFormat="1" ht="39" customHeight="1">
      <c r="A128" s="283" t="s">
        <v>269</v>
      </c>
      <c r="B128" s="246" t="s">
        <v>460</v>
      </c>
      <c r="C128" s="246"/>
      <c r="D128" s="246" t="s">
        <v>461</v>
      </c>
      <c r="E128" s="246"/>
      <c r="F128" s="284" t="s">
        <v>439</v>
      </c>
    </row>
    <row r="129" spans="1:11" ht="24.75" customHeight="1">
      <c r="A129" s="283"/>
      <c r="B129" s="133" t="s">
        <v>438</v>
      </c>
      <c r="C129" s="133" t="s">
        <v>459</v>
      </c>
      <c r="D129" s="133" t="s">
        <v>438</v>
      </c>
      <c r="E129" s="133" t="s">
        <v>459</v>
      </c>
      <c r="F129" s="284"/>
      <c r="I129" s="11"/>
      <c r="J129" s="11"/>
      <c r="K129" s="11"/>
    </row>
    <row r="130" spans="1:11" ht="18" customHeight="1">
      <c r="A130" s="165" t="s">
        <v>305</v>
      </c>
      <c r="B130" s="131">
        <v>3</v>
      </c>
      <c r="C130" s="146">
        <v>8</v>
      </c>
      <c r="D130" s="131">
        <v>1</v>
      </c>
      <c r="E130" s="146">
        <v>5</v>
      </c>
      <c r="F130" s="134">
        <f>B130+D130</f>
        <v>4</v>
      </c>
      <c r="G130" s="122"/>
      <c r="I130" s="11"/>
      <c r="J130" s="11"/>
      <c r="K130" s="11"/>
    </row>
    <row r="131" spans="1:11" ht="18" customHeight="1">
      <c r="A131" s="127" t="s">
        <v>306</v>
      </c>
      <c r="B131" s="131">
        <v>4</v>
      </c>
      <c r="C131" s="146">
        <v>8.75</v>
      </c>
      <c r="D131" s="131">
        <v>1</v>
      </c>
      <c r="E131" s="146">
        <v>5.5</v>
      </c>
      <c r="F131" s="134">
        <f aca="true" t="shared" si="6" ref="F131:F159">B131+D131</f>
        <v>5</v>
      </c>
      <c r="G131" s="122"/>
      <c r="I131" s="11"/>
      <c r="J131" s="11"/>
      <c r="K131" s="11"/>
    </row>
    <row r="132" spans="1:11" ht="18" customHeight="1">
      <c r="A132" s="127" t="s">
        <v>307</v>
      </c>
      <c r="B132" s="131">
        <v>15</v>
      </c>
      <c r="C132" s="146">
        <v>7</v>
      </c>
      <c r="D132" s="131">
        <v>2</v>
      </c>
      <c r="E132" s="146">
        <v>4</v>
      </c>
      <c r="F132" s="134">
        <f t="shared" si="6"/>
        <v>17</v>
      </c>
      <c r="G132" s="122"/>
      <c r="I132" s="11"/>
      <c r="J132" s="11"/>
      <c r="K132" s="11"/>
    </row>
    <row r="133" spans="1:11" ht="18" customHeight="1">
      <c r="A133" s="127" t="s">
        <v>308</v>
      </c>
      <c r="B133" s="131">
        <v>10</v>
      </c>
      <c r="C133" s="146">
        <v>8.5</v>
      </c>
      <c r="D133" s="131">
        <v>3</v>
      </c>
      <c r="E133" s="146">
        <v>5.5</v>
      </c>
      <c r="F133" s="134">
        <f t="shared" si="6"/>
        <v>13</v>
      </c>
      <c r="G133" s="122"/>
      <c r="I133" s="11"/>
      <c r="J133" s="11"/>
      <c r="K133" s="11"/>
    </row>
    <row r="134" spans="1:11" ht="18" customHeight="1">
      <c r="A134" s="127" t="s">
        <v>309</v>
      </c>
      <c r="B134" s="131">
        <v>5</v>
      </c>
      <c r="C134" s="146">
        <v>8.25</v>
      </c>
      <c r="D134" s="131">
        <v>1</v>
      </c>
      <c r="E134" s="146">
        <v>5.25</v>
      </c>
      <c r="F134" s="134">
        <f t="shared" si="6"/>
        <v>6</v>
      </c>
      <c r="G134" s="122"/>
      <c r="I134" s="11"/>
      <c r="J134" s="11"/>
      <c r="K134" s="11"/>
    </row>
    <row r="135" spans="1:11" ht="18" customHeight="1">
      <c r="A135" s="127" t="s">
        <v>310</v>
      </c>
      <c r="B135" s="131">
        <v>5</v>
      </c>
      <c r="C135" s="146">
        <v>8.25</v>
      </c>
      <c r="D135" s="131">
        <v>0</v>
      </c>
      <c r="E135" s="146">
        <v>0</v>
      </c>
      <c r="F135" s="134">
        <f t="shared" si="6"/>
        <v>5</v>
      </c>
      <c r="G135" s="122"/>
      <c r="I135" s="11"/>
      <c r="J135" s="11"/>
      <c r="K135" s="11"/>
    </row>
    <row r="136" spans="1:11" ht="18" customHeight="1">
      <c r="A136" s="127" t="s">
        <v>311</v>
      </c>
      <c r="B136" s="131">
        <v>3</v>
      </c>
      <c r="C136" s="146">
        <v>9</v>
      </c>
      <c r="D136" s="131">
        <v>1</v>
      </c>
      <c r="E136" s="146">
        <v>6</v>
      </c>
      <c r="F136" s="134">
        <f t="shared" si="6"/>
        <v>4</v>
      </c>
      <c r="G136" s="122"/>
      <c r="I136" s="11"/>
      <c r="J136" s="11"/>
      <c r="K136" s="11"/>
    </row>
    <row r="137" spans="1:11" ht="18" customHeight="1">
      <c r="A137" s="127" t="s">
        <v>312</v>
      </c>
      <c r="B137" s="131">
        <v>3</v>
      </c>
      <c r="C137" s="146">
        <v>7.75</v>
      </c>
      <c r="D137" s="131">
        <v>0</v>
      </c>
      <c r="E137" s="146">
        <v>0</v>
      </c>
      <c r="F137" s="134">
        <f t="shared" si="6"/>
        <v>3</v>
      </c>
      <c r="G137" s="122"/>
      <c r="I137" s="11"/>
      <c r="J137" s="11"/>
      <c r="K137" s="11"/>
    </row>
    <row r="138" spans="1:11" ht="18" customHeight="1">
      <c r="A138" s="127" t="s">
        <v>313</v>
      </c>
      <c r="B138" s="131">
        <v>5</v>
      </c>
      <c r="C138" s="146">
        <v>8.75</v>
      </c>
      <c r="D138" s="131">
        <v>0</v>
      </c>
      <c r="E138" s="146">
        <v>0</v>
      </c>
      <c r="F138" s="134">
        <f t="shared" si="6"/>
        <v>5</v>
      </c>
      <c r="G138" s="122"/>
      <c r="I138" s="11"/>
      <c r="J138" s="11"/>
      <c r="K138" s="11"/>
    </row>
    <row r="139" spans="1:11" ht="18" customHeight="1">
      <c r="A139" s="127" t="s">
        <v>314</v>
      </c>
      <c r="B139" s="131">
        <v>4</v>
      </c>
      <c r="C139" s="146">
        <v>9</v>
      </c>
      <c r="D139" s="131">
        <v>1</v>
      </c>
      <c r="E139" s="146">
        <v>6</v>
      </c>
      <c r="F139" s="134">
        <f t="shared" si="6"/>
        <v>5</v>
      </c>
      <c r="G139" s="122"/>
      <c r="I139" s="11"/>
      <c r="J139" s="11"/>
      <c r="K139" s="11"/>
    </row>
    <row r="140" spans="1:11" ht="18" customHeight="1">
      <c r="A140" s="127" t="s">
        <v>315</v>
      </c>
      <c r="B140" s="131">
        <v>6</v>
      </c>
      <c r="C140" s="146">
        <v>8.25</v>
      </c>
      <c r="D140" s="131">
        <v>1</v>
      </c>
      <c r="E140" s="146">
        <v>4.5</v>
      </c>
      <c r="F140" s="134">
        <f t="shared" si="6"/>
        <v>7</v>
      </c>
      <c r="G140" s="122"/>
      <c r="I140" s="11"/>
      <c r="J140" s="11"/>
      <c r="K140" s="11"/>
    </row>
    <row r="141" spans="1:11" ht="18" customHeight="1">
      <c r="A141" s="127" t="s">
        <v>316</v>
      </c>
      <c r="B141" s="131">
        <v>0</v>
      </c>
      <c r="C141" s="146">
        <v>0</v>
      </c>
      <c r="D141" s="131">
        <v>1</v>
      </c>
      <c r="E141" s="146">
        <v>5.5</v>
      </c>
      <c r="F141" s="134">
        <f t="shared" si="6"/>
        <v>1</v>
      </c>
      <c r="G141" s="122"/>
      <c r="I141" s="11"/>
      <c r="J141" s="11"/>
      <c r="K141" s="11"/>
    </row>
    <row r="142" spans="1:11" ht="18" customHeight="1">
      <c r="A142" s="127" t="s">
        <v>318</v>
      </c>
      <c r="B142" s="131">
        <v>4</v>
      </c>
      <c r="C142" s="146">
        <v>8.5</v>
      </c>
      <c r="D142" s="131">
        <v>0</v>
      </c>
      <c r="E142" s="146">
        <v>0</v>
      </c>
      <c r="F142" s="134">
        <f t="shared" si="6"/>
        <v>4</v>
      </c>
      <c r="G142" s="122"/>
      <c r="I142" s="11"/>
      <c r="J142" s="11"/>
      <c r="K142" s="11"/>
    </row>
    <row r="143" spans="1:11" ht="18" customHeight="1">
      <c r="A143" s="127" t="s">
        <v>320</v>
      </c>
      <c r="B143" s="131">
        <v>3</v>
      </c>
      <c r="C143" s="146">
        <v>10.666666666666666</v>
      </c>
      <c r="D143" s="131">
        <v>0</v>
      </c>
      <c r="E143" s="146">
        <v>0</v>
      </c>
      <c r="F143" s="134">
        <f t="shared" si="6"/>
        <v>3</v>
      </c>
      <c r="G143" s="122"/>
      <c r="I143" s="11"/>
      <c r="J143" s="11"/>
      <c r="K143" s="11"/>
    </row>
    <row r="144" spans="1:11" ht="18" customHeight="1">
      <c r="A144" s="127" t="s">
        <v>321</v>
      </c>
      <c r="B144" s="131">
        <v>5</v>
      </c>
      <c r="C144" s="146">
        <v>8.5</v>
      </c>
      <c r="D144" s="131">
        <v>0</v>
      </c>
      <c r="E144" s="146">
        <v>0</v>
      </c>
      <c r="F144" s="134">
        <f t="shared" si="6"/>
        <v>5</v>
      </c>
      <c r="G144" s="122"/>
      <c r="I144" s="11"/>
      <c r="J144" s="11"/>
      <c r="K144" s="11"/>
    </row>
    <row r="145" spans="1:11" ht="18" customHeight="1">
      <c r="A145" s="127" t="s">
        <v>253</v>
      </c>
      <c r="B145" s="131">
        <v>47</v>
      </c>
      <c r="C145" s="146">
        <v>8</v>
      </c>
      <c r="D145" s="131">
        <v>10</v>
      </c>
      <c r="E145" s="146">
        <v>5</v>
      </c>
      <c r="F145" s="134">
        <f t="shared" si="6"/>
        <v>57</v>
      </c>
      <c r="G145" s="122"/>
      <c r="I145" s="11"/>
      <c r="J145" s="11"/>
      <c r="K145" s="11"/>
    </row>
    <row r="146" spans="1:11" ht="18" customHeight="1">
      <c r="A146" s="127" t="s">
        <v>322</v>
      </c>
      <c r="B146" s="131">
        <v>4</v>
      </c>
      <c r="C146" s="146">
        <v>9</v>
      </c>
      <c r="D146" s="131">
        <v>0</v>
      </c>
      <c r="E146" s="146">
        <v>0</v>
      </c>
      <c r="F146" s="134">
        <f t="shared" si="6"/>
        <v>4</v>
      </c>
      <c r="G146" s="122"/>
      <c r="I146" s="11"/>
      <c r="J146" s="11"/>
      <c r="K146" s="11"/>
    </row>
    <row r="147" spans="1:11" ht="18" customHeight="1">
      <c r="A147" s="127" t="s">
        <v>323</v>
      </c>
      <c r="B147" s="131">
        <v>4</v>
      </c>
      <c r="C147" s="146">
        <v>7.5</v>
      </c>
      <c r="D147" s="131">
        <v>0</v>
      </c>
      <c r="E147" s="146">
        <v>0</v>
      </c>
      <c r="F147" s="134">
        <f t="shared" si="6"/>
        <v>4</v>
      </c>
      <c r="G147" s="122"/>
      <c r="I147" s="11"/>
      <c r="J147" s="11"/>
      <c r="K147" s="11"/>
    </row>
    <row r="148" spans="1:11" ht="18" customHeight="1">
      <c r="A148" s="127" t="s">
        <v>324</v>
      </c>
      <c r="B148" s="131">
        <v>3</v>
      </c>
      <c r="C148" s="146">
        <v>8</v>
      </c>
      <c r="D148" s="131">
        <v>1</v>
      </c>
      <c r="E148" s="146">
        <v>5</v>
      </c>
      <c r="F148" s="134">
        <f t="shared" si="6"/>
        <v>4</v>
      </c>
      <c r="G148" s="122"/>
      <c r="I148" s="11"/>
      <c r="J148" s="11"/>
      <c r="K148" s="11"/>
    </row>
    <row r="149" spans="1:11" ht="18" customHeight="1">
      <c r="A149" s="127" t="s">
        <v>325</v>
      </c>
      <c r="B149" s="131">
        <v>3</v>
      </c>
      <c r="C149" s="146">
        <v>9</v>
      </c>
      <c r="D149" s="131">
        <v>0</v>
      </c>
      <c r="E149" s="146">
        <v>0</v>
      </c>
      <c r="F149" s="134">
        <f t="shared" si="6"/>
        <v>3</v>
      </c>
      <c r="G149" s="122"/>
      <c r="I149" s="11"/>
      <c r="J149" s="11"/>
      <c r="K149" s="11"/>
    </row>
    <row r="150" spans="1:11" ht="18" customHeight="1">
      <c r="A150" s="127" t="s">
        <v>326</v>
      </c>
      <c r="B150" s="131">
        <v>2</v>
      </c>
      <c r="C150" s="146">
        <v>8</v>
      </c>
      <c r="D150" s="131">
        <v>1</v>
      </c>
      <c r="E150" s="146">
        <v>5</v>
      </c>
      <c r="F150" s="134">
        <f t="shared" si="6"/>
        <v>3</v>
      </c>
      <c r="G150" s="122"/>
      <c r="I150" s="11"/>
      <c r="J150" s="11"/>
      <c r="K150" s="11"/>
    </row>
    <row r="151" spans="1:11" ht="18" customHeight="1">
      <c r="A151" s="127" t="s">
        <v>327</v>
      </c>
      <c r="B151" s="131">
        <v>3</v>
      </c>
      <c r="C151" s="146">
        <v>8.5</v>
      </c>
      <c r="D151" s="131">
        <v>0</v>
      </c>
      <c r="E151" s="146">
        <v>0</v>
      </c>
      <c r="F151" s="134">
        <f t="shared" si="6"/>
        <v>3</v>
      </c>
      <c r="G151" s="122"/>
      <c r="I151" s="11"/>
      <c r="J151" s="11"/>
      <c r="K151" s="11"/>
    </row>
    <row r="152" spans="1:11" ht="18" customHeight="1">
      <c r="A152" s="127" t="s">
        <v>328</v>
      </c>
      <c r="B152" s="131">
        <v>1</v>
      </c>
      <c r="C152" s="146">
        <v>8</v>
      </c>
      <c r="D152" s="131">
        <v>0</v>
      </c>
      <c r="E152" s="146">
        <v>0</v>
      </c>
      <c r="F152" s="134">
        <f t="shared" si="6"/>
        <v>1</v>
      </c>
      <c r="G152" s="122"/>
      <c r="I152" s="11"/>
      <c r="J152" s="11"/>
      <c r="K152" s="11"/>
    </row>
    <row r="153" spans="1:11" ht="18" customHeight="1">
      <c r="A153" s="127" t="s">
        <v>329</v>
      </c>
      <c r="B153" s="131">
        <v>3</v>
      </c>
      <c r="C153" s="146">
        <v>8</v>
      </c>
      <c r="D153" s="131">
        <v>0</v>
      </c>
      <c r="E153" s="146">
        <v>0</v>
      </c>
      <c r="F153" s="134">
        <f t="shared" si="6"/>
        <v>3</v>
      </c>
      <c r="G153" s="122"/>
      <c r="I153" s="11"/>
      <c r="J153" s="11"/>
      <c r="K153" s="11"/>
    </row>
    <row r="154" spans="1:11" ht="18" customHeight="1">
      <c r="A154" s="127" t="s">
        <v>330</v>
      </c>
      <c r="B154" s="131">
        <v>9</v>
      </c>
      <c r="C154" s="146">
        <v>8.25</v>
      </c>
      <c r="D154" s="131">
        <v>1</v>
      </c>
      <c r="E154" s="146">
        <v>5.5</v>
      </c>
      <c r="F154" s="134">
        <f t="shared" si="6"/>
        <v>10</v>
      </c>
      <c r="G154" s="122"/>
      <c r="I154" s="11"/>
      <c r="J154" s="11"/>
      <c r="K154" s="11"/>
    </row>
    <row r="155" spans="1:11" ht="18" customHeight="1">
      <c r="A155" s="127" t="s">
        <v>331</v>
      </c>
      <c r="B155" s="131">
        <v>2</v>
      </c>
      <c r="C155" s="146">
        <v>8</v>
      </c>
      <c r="D155" s="131">
        <v>1</v>
      </c>
      <c r="E155" s="146">
        <v>5</v>
      </c>
      <c r="F155" s="134">
        <f t="shared" si="6"/>
        <v>3</v>
      </c>
      <c r="G155" s="122"/>
      <c r="I155" s="11"/>
      <c r="J155" s="11"/>
      <c r="K155" s="11"/>
    </row>
    <row r="156" spans="1:11" ht="18" customHeight="1">
      <c r="A156" s="127" t="s">
        <v>332</v>
      </c>
      <c r="B156" s="131">
        <v>6</v>
      </c>
      <c r="C156" s="146">
        <v>7</v>
      </c>
      <c r="D156" s="131">
        <v>0</v>
      </c>
      <c r="E156" s="146">
        <v>0</v>
      </c>
      <c r="F156" s="134">
        <f t="shared" si="6"/>
        <v>6</v>
      </c>
      <c r="G156" s="122"/>
      <c r="I156" s="11"/>
      <c r="J156" s="11"/>
      <c r="K156" s="11"/>
    </row>
    <row r="157" spans="1:11" ht="18" customHeight="1">
      <c r="A157" s="127" t="s">
        <v>333</v>
      </c>
      <c r="B157" s="131">
        <v>2</v>
      </c>
      <c r="C157" s="146">
        <v>8.75</v>
      </c>
      <c r="D157" s="131">
        <v>1</v>
      </c>
      <c r="E157" s="146">
        <v>5.5</v>
      </c>
      <c r="F157" s="134">
        <f t="shared" si="6"/>
        <v>3</v>
      </c>
      <c r="G157" s="122"/>
      <c r="I157" s="11"/>
      <c r="J157" s="11"/>
      <c r="K157" s="11"/>
    </row>
    <row r="158" spans="1:11" ht="18" customHeight="1">
      <c r="A158" s="127" t="s">
        <v>334</v>
      </c>
      <c r="B158" s="131">
        <v>8</v>
      </c>
      <c r="C158" s="146">
        <v>8.25</v>
      </c>
      <c r="D158" s="131">
        <v>3</v>
      </c>
      <c r="E158" s="146">
        <v>5.25</v>
      </c>
      <c r="F158" s="134">
        <f t="shared" si="6"/>
        <v>11</v>
      </c>
      <c r="G158" s="122"/>
      <c r="I158" s="11"/>
      <c r="J158" s="11"/>
      <c r="K158" s="11"/>
    </row>
    <row r="159" spans="1:11" ht="28.5" customHeight="1">
      <c r="A159" s="30" t="s">
        <v>224</v>
      </c>
      <c r="B159" s="129">
        <f>SUM(B130:B158)</f>
        <v>172</v>
      </c>
      <c r="C159" s="147">
        <f>SUM(C130:C158)/28</f>
        <v>8.336309523809524</v>
      </c>
      <c r="D159" s="129">
        <f>SUM(D130:D158)</f>
        <v>30</v>
      </c>
      <c r="E159" s="147">
        <f>SUM(E130:E158)/16</f>
        <v>5.21875</v>
      </c>
      <c r="F159" s="130">
        <f t="shared" si="6"/>
        <v>202</v>
      </c>
      <c r="G159" s="122"/>
      <c r="I159" s="11"/>
      <c r="J159" s="11"/>
      <c r="K159" s="11"/>
    </row>
    <row r="160" spans="1:8" s="123" customFormat="1" ht="18" customHeight="1">
      <c r="A160" s="148"/>
      <c r="B160" s="149"/>
      <c r="C160" s="125"/>
      <c r="D160" s="150"/>
      <c r="E160" s="125"/>
      <c r="H160" s="151"/>
    </row>
    <row r="161" ht="18" customHeight="1">
      <c r="A161" s="219" t="s">
        <v>85</v>
      </c>
    </row>
    <row r="162" ht="18" customHeight="1">
      <c r="A162" s="219" t="s">
        <v>86</v>
      </c>
    </row>
    <row r="163" ht="18" customHeight="1">
      <c r="A163" s="219" t="s">
        <v>87</v>
      </c>
    </row>
    <row r="164" ht="18" customHeight="1">
      <c r="A164" s="219" t="s">
        <v>88</v>
      </c>
    </row>
    <row r="165" ht="10.5">
      <c r="A165" s="122"/>
    </row>
    <row r="166" spans="1:7" s="11" customFormat="1" ht="60.75" customHeight="1">
      <c r="A166" s="24" t="s">
        <v>446</v>
      </c>
      <c r="B166" s="248" t="s">
        <v>452</v>
      </c>
      <c r="C166" s="249"/>
      <c r="D166" s="249"/>
      <c r="E166" s="249"/>
      <c r="F166" s="250"/>
      <c r="G166" s="25"/>
    </row>
    <row r="167" spans="1:6" s="11" customFormat="1" ht="39" customHeight="1">
      <c r="A167" s="276" t="s">
        <v>269</v>
      </c>
      <c r="B167" s="278" t="s">
        <v>460</v>
      </c>
      <c r="C167" s="279"/>
      <c r="D167" s="278" t="s">
        <v>461</v>
      </c>
      <c r="E167" s="279"/>
      <c r="F167" s="280" t="s">
        <v>439</v>
      </c>
    </row>
    <row r="168" spans="1:6" ht="24.75" customHeight="1">
      <c r="A168" s="277"/>
      <c r="B168" s="132" t="s">
        <v>438</v>
      </c>
      <c r="C168" s="133" t="s">
        <v>459</v>
      </c>
      <c r="D168" s="132" t="s">
        <v>438</v>
      </c>
      <c r="E168" s="133" t="s">
        <v>459</v>
      </c>
      <c r="F168" s="281"/>
    </row>
    <row r="169" spans="1:7" ht="18" customHeight="1">
      <c r="A169" s="165" t="s">
        <v>130</v>
      </c>
      <c r="B169" s="131">
        <v>3</v>
      </c>
      <c r="C169" s="146">
        <v>9.833333333333332</v>
      </c>
      <c r="D169" s="131">
        <v>0</v>
      </c>
      <c r="E169" s="146">
        <v>0</v>
      </c>
      <c r="F169" s="134">
        <f>B169+D169</f>
        <v>3</v>
      </c>
      <c r="G169" s="122"/>
    </row>
    <row r="170" spans="1:7" ht="18" customHeight="1">
      <c r="A170" s="127" t="s">
        <v>129</v>
      </c>
      <c r="B170" s="131">
        <v>4</v>
      </c>
      <c r="C170" s="146">
        <v>8</v>
      </c>
      <c r="D170" s="131">
        <v>0</v>
      </c>
      <c r="E170" s="146">
        <v>0</v>
      </c>
      <c r="F170" s="134">
        <f aca="true" t="shared" si="7" ref="F170:F211">B170+D170</f>
        <v>4</v>
      </c>
      <c r="G170" s="122"/>
    </row>
    <row r="171" spans="1:7" ht="18" customHeight="1">
      <c r="A171" s="127" t="s">
        <v>128</v>
      </c>
      <c r="B171" s="131">
        <v>2</v>
      </c>
      <c r="C171" s="146">
        <v>9</v>
      </c>
      <c r="D171" s="131">
        <v>2</v>
      </c>
      <c r="E171" s="146">
        <v>6</v>
      </c>
      <c r="F171" s="134">
        <f t="shared" si="7"/>
        <v>4</v>
      </c>
      <c r="G171" s="122"/>
    </row>
    <row r="172" spans="1:7" ht="18" customHeight="1">
      <c r="A172" s="127" t="s">
        <v>127</v>
      </c>
      <c r="B172" s="131">
        <v>3</v>
      </c>
      <c r="C172" s="146">
        <v>9.5</v>
      </c>
      <c r="D172" s="131">
        <v>0</v>
      </c>
      <c r="E172" s="146">
        <v>0</v>
      </c>
      <c r="F172" s="134">
        <f t="shared" si="7"/>
        <v>3</v>
      </c>
      <c r="G172" s="122"/>
    </row>
    <row r="173" spans="1:7" ht="18" customHeight="1">
      <c r="A173" s="127" t="s">
        <v>126</v>
      </c>
      <c r="B173" s="131">
        <v>3</v>
      </c>
      <c r="C173" s="146">
        <v>7.5</v>
      </c>
      <c r="D173" s="131">
        <v>0</v>
      </c>
      <c r="E173" s="146">
        <v>0</v>
      </c>
      <c r="F173" s="134">
        <f t="shared" si="7"/>
        <v>3</v>
      </c>
      <c r="G173" s="122"/>
    </row>
    <row r="174" spans="1:7" ht="18" customHeight="1">
      <c r="A174" s="127" t="s">
        <v>254</v>
      </c>
      <c r="B174" s="131">
        <v>134</v>
      </c>
      <c r="C174" s="146">
        <v>9</v>
      </c>
      <c r="D174" s="131">
        <v>6</v>
      </c>
      <c r="E174" s="146">
        <v>6</v>
      </c>
      <c r="F174" s="134">
        <f t="shared" si="7"/>
        <v>140</v>
      </c>
      <c r="G174" s="122"/>
    </row>
    <row r="175" spans="1:7" ht="18" customHeight="1">
      <c r="A175" s="127" t="s">
        <v>125</v>
      </c>
      <c r="B175" s="131">
        <v>1</v>
      </c>
      <c r="C175" s="146">
        <v>9.5</v>
      </c>
      <c r="D175" s="131">
        <v>1</v>
      </c>
      <c r="E175" s="146">
        <v>5</v>
      </c>
      <c r="F175" s="134">
        <f t="shared" si="7"/>
        <v>2</v>
      </c>
      <c r="G175" s="122"/>
    </row>
    <row r="176" spans="1:7" ht="18" customHeight="1">
      <c r="A176" s="127" t="s">
        <v>124</v>
      </c>
      <c r="B176" s="131">
        <v>4</v>
      </c>
      <c r="C176" s="146">
        <v>9</v>
      </c>
      <c r="D176" s="131">
        <v>0</v>
      </c>
      <c r="E176" s="146">
        <v>0</v>
      </c>
      <c r="F176" s="134">
        <f t="shared" si="7"/>
        <v>4</v>
      </c>
      <c r="G176" s="122"/>
    </row>
    <row r="177" spans="1:7" ht="18" customHeight="1">
      <c r="A177" s="127" t="s">
        <v>123</v>
      </c>
      <c r="B177" s="131">
        <v>4</v>
      </c>
      <c r="C177" s="146">
        <v>9</v>
      </c>
      <c r="D177" s="131">
        <v>0</v>
      </c>
      <c r="E177" s="146">
        <v>0</v>
      </c>
      <c r="F177" s="134">
        <f t="shared" si="7"/>
        <v>4</v>
      </c>
      <c r="G177" s="122"/>
    </row>
    <row r="178" spans="1:7" ht="18" customHeight="1">
      <c r="A178" s="127" t="s">
        <v>122</v>
      </c>
      <c r="B178" s="131">
        <v>17</v>
      </c>
      <c r="C178" s="146">
        <v>9</v>
      </c>
      <c r="D178" s="131">
        <v>2</v>
      </c>
      <c r="E178" s="146">
        <v>6</v>
      </c>
      <c r="F178" s="134">
        <f t="shared" si="7"/>
        <v>19</v>
      </c>
      <c r="G178" s="122"/>
    </row>
    <row r="179" spans="1:7" ht="18" customHeight="1">
      <c r="A179" s="127" t="s">
        <v>121</v>
      </c>
      <c r="B179" s="131">
        <v>6</v>
      </c>
      <c r="C179" s="146">
        <v>10</v>
      </c>
      <c r="D179" s="131">
        <v>0</v>
      </c>
      <c r="E179" s="146">
        <v>0</v>
      </c>
      <c r="F179" s="134">
        <f t="shared" si="7"/>
        <v>6</v>
      </c>
      <c r="G179" s="122"/>
    </row>
    <row r="180" spans="1:7" ht="18" customHeight="1">
      <c r="A180" s="127" t="s">
        <v>120</v>
      </c>
      <c r="B180" s="131">
        <v>7</v>
      </c>
      <c r="C180" s="146">
        <v>10</v>
      </c>
      <c r="D180" s="131">
        <v>1</v>
      </c>
      <c r="E180" s="146">
        <v>7</v>
      </c>
      <c r="F180" s="134">
        <f t="shared" si="7"/>
        <v>8</v>
      </c>
      <c r="G180" s="122"/>
    </row>
    <row r="181" spans="1:7" ht="18" customHeight="1">
      <c r="A181" s="127" t="s">
        <v>119</v>
      </c>
      <c r="B181" s="131">
        <v>2</v>
      </c>
      <c r="C181" s="146">
        <v>8</v>
      </c>
      <c r="D181" s="131">
        <v>1</v>
      </c>
      <c r="E181" s="146">
        <v>5</v>
      </c>
      <c r="F181" s="134">
        <f t="shared" si="7"/>
        <v>3</v>
      </c>
      <c r="G181" s="122"/>
    </row>
    <row r="182" spans="1:7" ht="18" customHeight="1">
      <c r="A182" s="127" t="s">
        <v>335</v>
      </c>
      <c r="B182" s="131">
        <v>5</v>
      </c>
      <c r="C182" s="146">
        <v>8.5</v>
      </c>
      <c r="D182" s="131">
        <v>1</v>
      </c>
      <c r="E182" s="146">
        <v>5.5</v>
      </c>
      <c r="F182" s="134">
        <f t="shared" si="7"/>
        <v>6</v>
      </c>
      <c r="G182" s="122"/>
    </row>
    <row r="183" spans="1:7" ht="18" customHeight="1">
      <c r="A183" s="127" t="s">
        <v>118</v>
      </c>
      <c r="B183" s="131">
        <v>4</v>
      </c>
      <c r="C183" s="146">
        <v>10</v>
      </c>
      <c r="D183" s="131">
        <v>1</v>
      </c>
      <c r="E183" s="146">
        <v>6</v>
      </c>
      <c r="F183" s="134">
        <f t="shared" si="7"/>
        <v>5</v>
      </c>
      <c r="G183" s="122"/>
    </row>
    <row r="184" spans="1:7" ht="18" customHeight="1">
      <c r="A184" s="127" t="s">
        <v>117</v>
      </c>
      <c r="B184" s="131">
        <v>2</v>
      </c>
      <c r="C184" s="146">
        <v>8</v>
      </c>
      <c r="D184" s="131">
        <v>0</v>
      </c>
      <c r="E184" s="146">
        <v>0</v>
      </c>
      <c r="F184" s="134">
        <f t="shared" si="7"/>
        <v>2</v>
      </c>
      <c r="G184" s="122"/>
    </row>
    <row r="185" spans="1:7" ht="18" customHeight="1">
      <c r="A185" s="127" t="s">
        <v>116</v>
      </c>
      <c r="B185" s="131">
        <v>3</v>
      </c>
      <c r="C185" s="146">
        <v>9</v>
      </c>
      <c r="D185" s="131">
        <v>1</v>
      </c>
      <c r="E185" s="146">
        <v>6</v>
      </c>
      <c r="F185" s="134">
        <f t="shared" si="7"/>
        <v>4</v>
      </c>
      <c r="G185" s="122"/>
    </row>
    <row r="186" spans="1:7" ht="18" customHeight="1">
      <c r="A186" s="127" t="s">
        <v>115</v>
      </c>
      <c r="B186" s="131">
        <v>2</v>
      </c>
      <c r="C186" s="146">
        <v>9</v>
      </c>
      <c r="D186" s="131">
        <v>0</v>
      </c>
      <c r="E186" s="146">
        <v>0</v>
      </c>
      <c r="F186" s="134">
        <f t="shared" si="7"/>
        <v>2</v>
      </c>
      <c r="G186" s="122"/>
    </row>
    <row r="187" spans="1:7" ht="18" customHeight="1">
      <c r="A187" s="127" t="s">
        <v>114</v>
      </c>
      <c r="B187" s="131">
        <v>3</v>
      </c>
      <c r="C187" s="146">
        <v>10</v>
      </c>
      <c r="D187" s="131">
        <v>0</v>
      </c>
      <c r="E187" s="146">
        <v>0</v>
      </c>
      <c r="F187" s="134">
        <f t="shared" si="7"/>
        <v>3</v>
      </c>
      <c r="G187" s="122"/>
    </row>
    <row r="188" spans="1:7" ht="18" customHeight="1">
      <c r="A188" s="127" t="s">
        <v>113</v>
      </c>
      <c r="B188" s="131">
        <v>1</v>
      </c>
      <c r="C188" s="146">
        <v>9</v>
      </c>
      <c r="D188" s="131">
        <v>0</v>
      </c>
      <c r="E188" s="146">
        <v>0</v>
      </c>
      <c r="F188" s="134">
        <f t="shared" si="7"/>
        <v>1</v>
      </c>
      <c r="G188" s="122"/>
    </row>
    <row r="189" spans="1:7" ht="18" customHeight="1">
      <c r="A189" s="127" t="s">
        <v>336</v>
      </c>
      <c r="B189" s="131">
        <v>18</v>
      </c>
      <c r="C189" s="146">
        <v>9</v>
      </c>
      <c r="D189" s="131">
        <v>4</v>
      </c>
      <c r="E189" s="146">
        <v>6.75</v>
      </c>
      <c r="F189" s="134">
        <f t="shared" si="7"/>
        <v>22</v>
      </c>
      <c r="G189" s="122"/>
    </row>
    <row r="190" spans="1:7" ht="18" customHeight="1">
      <c r="A190" s="127" t="s">
        <v>112</v>
      </c>
      <c r="B190" s="131">
        <v>4</v>
      </c>
      <c r="C190" s="146">
        <v>9</v>
      </c>
      <c r="D190" s="131">
        <v>0</v>
      </c>
      <c r="E190" s="146">
        <v>0</v>
      </c>
      <c r="F190" s="134">
        <f t="shared" si="7"/>
        <v>4</v>
      </c>
      <c r="G190" s="122"/>
    </row>
    <row r="191" spans="1:7" ht="18" customHeight="1">
      <c r="A191" s="127" t="s">
        <v>111</v>
      </c>
      <c r="B191" s="131">
        <v>7</v>
      </c>
      <c r="C191" s="146">
        <v>11</v>
      </c>
      <c r="D191" s="131">
        <v>0</v>
      </c>
      <c r="E191" s="146">
        <v>0</v>
      </c>
      <c r="F191" s="134">
        <f t="shared" si="7"/>
        <v>7</v>
      </c>
      <c r="G191" s="122"/>
    </row>
    <row r="192" spans="1:7" ht="18" customHeight="1">
      <c r="A192" s="127" t="s">
        <v>110</v>
      </c>
      <c r="B192" s="131">
        <v>2</v>
      </c>
      <c r="C192" s="146">
        <v>9</v>
      </c>
      <c r="D192" s="131">
        <v>2</v>
      </c>
      <c r="E192" s="146">
        <v>6</v>
      </c>
      <c r="F192" s="134">
        <f t="shared" si="7"/>
        <v>4</v>
      </c>
      <c r="G192" s="122"/>
    </row>
    <row r="193" spans="1:7" ht="18" customHeight="1">
      <c r="A193" s="127" t="s">
        <v>109</v>
      </c>
      <c r="B193" s="131">
        <v>6</v>
      </c>
      <c r="C193" s="146">
        <v>9</v>
      </c>
      <c r="D193" s="131">
        <v>1</v>
      </c>
      <c r="E193" s="146">
        <v>6</v>
      </c>
      <c r="F193" s="134">
        <f t="shared" si="7"/>
        <v>7</v>
      </c>
      <c r="G193" s="122"/>
    </row>
    <row r="194" spans="1:7" ht="18" customHeight="1">
      <c r="A194" s="127" t="s">
        <v>108</v>
      </c>
      <c r="B194" s="131">
        <v>1</v>
      </c>
      <c r="C194" s="146">
        <v>10.5</v>
      </c>
      <c r="D194" s="131">
        <v>0</v>
      </c>
      <c r="E194" s="146">
        <v>0</v>
      </c>
      <c r="F194" s="134">
        <f t="shared" si="7"/>
        <v>1</v>
      </c>
      <c r="G194" s="122"/>
    </row>
    <row r="195" spans="1:7" ht="18" customHeight="1">
      <c r="A195" s="127" t="s">
        <v>107</v>
      </c>
      <c r="B195" s="131">
        <v>3</v>
      </c>
      <c r="C195" s="146">
        <v>10</v>
      </c>
      <c r="D195" s="131">
        <v>0</v>
      </c>
      <c r="E195" s="146">
        <v>0</v>
      </c>
      <c r="F195" s="134">
        <f t="shared" si="7"/>
        <v>3</v>
      </c>
      <c r="G195" s="122"/>
    </row>
    <row r="196" spans="1:7" ht="18" customHeight="1">
      <c r="A196" s="127" t="s">
        <v>106</v>
      </c>
      <c r="B196" s="131">
        <v>2</v>
      </c>
      <c r="C196" s="146">
        <v>10.75</v>
      </c>
      <c r="D196" s="131">
        <v>0</v>
      </c>
      <c r="E196" s="146">
        <v>0</v>
      </c>
      <c r="F196" s="134">
        <f t="shared" si="7"/>
        <v>2</v>
      </c>
      <c r="G196" s="122"/>
    </row>
    <row r="197" spans="1:7" ht="18" customHeight="1">
      <c r="A197" s="127" t="s">
        <v>104</v>
      </c>
      <c r="B197" s="131">
        <v>4</v>
      </c>
      <c r="C197" s="146">
        <v>10</v>
      </c>
      <c r="D197" s="131">
        <v>0</v>
      </c>
      <c r="E197" s="146">
        <v>0</v>
      </c>
      <c r="F197" s="134">
        <f t="shared" si="7"/>
        <v>4</v>
      </c>
      <c r="G197" s="122"/>
    </row>
    <row r="198" spans="1:7" ht="18" customHeight="1">
      <c r="A198" s="127" t="s">
        <v>103</v>
      </c>
      <c r="B198" s="131">
        <v>2</v>
      </c>
      <c r="C198" s="146">
        <v>10</v>
      </c>
      <c r="D198" s="131">
        <v>0</v>
      </c>
      <c r="E198" s="146">
        <v>0</v>
      </c>
      <c r="F198" s="134">
        <f t="shared" si="7"/>
        <v>2</v>
      </c>
      <c r="G198" s="122"/>
    </row>
    <row r="199" spans="1:7" ht="18" customHeight="1">
      <c r="A199" s="127" t="s">
        <v>102</v>
      </c>
      <c r="B199" s="131">
        <v>2</v>
      </c>
      <c r="C199" s="146">
        <v>9.5</v>
      </c>
      <c r="D199" s="131">
        <v>0</v>
      </c>
      <c r="E199" s="146">
        <v>0</v>
      </c>
      <c r="F199" s="134">
        <f t="shared" si="7"/>
        <v>2</v>
      </c>
      <c r="G199" s="122"/>
    </row>
    <row r="200" spans="1:7" ht="18" customHeight="1">
      <c r="A200" s="127" t="s">
        <v>101</v>
      </c>
      <c r="B200" s="131">
        <v>4</v>
      </c>
      <c r="C200" s="146">
        <v>9</v>
      </c>
      <c r="D200" s="131">
        <v>0</v>
      </c>
      <c r="E200" s="146">
        <v>0</v>
      </c>
      <c r="F200" s="134">
        <f t="shared" si="7"/>
        <v>4</v>
      </c>
      <c r="G200" s="122"/>
    </row>
    <row r="201" spans="1:7" ht="18" customHeight="1">
      <c r="A201" s="127" t="s">
        <v>100</v>
      </c>
      <c r="B201" s="131">
        <v>3</v>
      </c>
      <c r="C201" s="146">
        <v>8.5</v>
      </c>
      <c r="D201" s="131">
        <v>0</v>
      </c>
      <c r="E201" s="146">
        <v>0</v>
      </c>
      <c r="F201" s="134">
        <f t="shared" si="7"/>
        <v>3</v>
      </c>
      <c r="G201" s="122"/>
    </row>
    <row r="202" spans="1:7" ht="18" customHeight="1">
      <c r="A202" s="127" t="s">
        <v>99</v>
      </c>
      <c r="B202" s="131">
        <v>10</v>
      </c>
      <c r="C202" s="146">
        <v>9.666666666666666</v>
      </c>
      <c r="D202" s="131">
        <v>2</v>
      </c>
      <c r="E202" s="146">
        <v>6</v>
      </c>
      <c r="F202" s="134">
        <f t="shared" si="7"/>
        <v>12</v>
      </c>
      <c r="G202" s="122"/>
    </row>
    <row r="203" spans="1:6" s="11" customFormat="1" ht="39" customHeight="1">
      <c r="A203" s="287" t="s">
        <v>269</v>
      </c>
      <c r="B203" s="278" t="s">
        <v>460</v>
      </c>
      <c r="C203" s="279"/>
      <c r="D203" s="278" t="s">
        <v>461</v>
      </c>
      <c r="E203" s="279"/>
      <c r="F203" s="280" t="s">
        <v>439</v>
      </c>
    </row>
    <row r="204" spans="1:6" ht="24.75" customHeight="1">
      <c r="A204" s="287"/>
      <c r="B204" s="132" t="s">
        <v>438</v>
      </c>
      <c r="C204" s="133" t="s">
        <v>459</v>
      </c>
      <c r="D204" s="132" t="s">
        <v>438</v>
      </c>
      <c r="E204" s="133" t="s">
        <v>459</v>
      </c>
      <c r="F204" s="281"/>
    </row>
    <row r="205" spans="1:7" ht="18" customHeight="1">
      <c r="A205" s="127" t="s">
        <v>98</v>
      </c>
      <c r="B205" s="131">
        <v>11</v>
      </c>
      <c r="C205" s="146">
        <v>10.5</v>
      </c>
      <c r="D205" s="131">
        <v>1</v>
      </c>
      <c r="E205" s="146">
        <v>6.333333333333334</v>
      </c>
      <c r="F205" s="134">
        <f t="shared" si="7"/>
        <v>12</v>
      </c>
      <c r="G205" s="122"/>
    </row>
    <row r="206" spans="1:7" ht="18" customHeight="1">
      <c r="A206" s="127" t="s">
        <v>97</v>
      </c>
      <c r="B206" s="131">
        <v>5</v>
      </c>
      <c r="C206" s="146">
        <v>8.5</v>
      </c>
      <c r="D206" s="131">
        <v>1</v>
      </c>
      <c r="E206" s="146">
        <v>4.5</v>
      </c>
      <c r="F206" s="134">
        <f t="shared" si="7"/>
        <v>6</v>
      </c>
      <c r="G206" s="122"/>
    </row>
    <row r="207" spans="1:7" ht="18" customHeight="1">
      <c r="A207" s="127" t="s">
        <v>242</v>
      </c>
      <c r="B207" s="131">
        <v>4</v>
      </c>
      <c r="C207" s="146">
        <v>8</v>
      </c>
      <c r="D207" s="131">
        <v>0</v>
      </c>
      <c r="E207" s="146">
        <v>0</v>
      </c>
      <c r="F207" s="134">
        <f t="shared" si="7"/>
        <v>4</v>
      </c>
      <c r="G207" s="122"/>
    </row>
    <row r="208" spans="1:7" ht="18" customHeight="1">
      <c r="A208" s="127" t="s">
        <v>96</v>
      </c>
      <c r="B208" s="131">
        <v>4</v>
      </c>
      <c r="C208" s="146">
        <v>9</v>
      </c>
      <c r="D208" s="131">
        <v>1</v>
      </c>
      <c r="E208" s="146">
        <v>6</v>
      </c>
      <c r="F208" s="134">
        <f t="shared" si="7"/>
        <v>5</v>
      </c>
      <c r="G208" s="122"/>
    </row>
    <row r="209" spans="1:7" ht="18" customHeight="1">
      <c r="A209" s="127" t="s">
        <v>95</v>
      </c>
      <c r="B209" s="131">
        <v>3</v>
      </c>
      <c r="C209" s="146">
        <v>9</v>
      </c>
      <c r="D209" s="131">
        <v>0</v>
      </c>
      <c r="E209" s="146">
        <v>0</v>
      </c>
      <c r="F209" s="134">
        <f t="shared" si="7"/>
        <v>3</v>
      </c>
      <c r="G209" s="122"/>
    </row>
    <row r="210" spans="1:7" ht="18" customHeight="1">
      <c r="A210" s="127" t="s">
        <v>241</v>
      </c>
      <c r="B210" s="131">
        <v>9</v>
      </c>
      <c r="C210" s="146">
        <v>8</v>
      </c>
      <c r="D210" s="131">
        <v>1</v>
      </c>
      <c r="E210" s="146">
        <v>5.5</v>
      </c>
      <c r="F210" s="134">
        <f t="shared" si="7"/>
        <v>10</v>
      </c>
      <c r="G210" s="122"/>
    </row>
    <row r="211" spans="1:7" ht="28.5" customHeight="1">
      <c r="A211" s="30" t="s">
        <v>225</v>
      </c>
      <c r="B211" s="129">
        <v>314</v>
      </c>
      <c r="C211" s="147">
        <f>SUM(C169:C210)/40</f>
        <v>9.21875</v>
      </c>
      <c r="D211" s="129">
        <v>29</v>
      </c>
      <c r="E211" s="147">
        <f>SUM(E169:E210)/17</f>
        <v>5.857843137254902</v>
      </c>
      <c r="F211" s="130">
        <f t="shared" si="7"/>
        <v>343</v>
      </c>
      <c r="G211" s="122"/>
    </row>
    <row r="213" ht="10.5">
      <c r="A213" s="155" t="s">
        <v>91</v>
      </c>
    </row>
    <row r="216" spans="1:7" s="11" customFormat="1" ht="60.75" customHeight="1">
      <c r="A216" s="24" t="s">
        <v>446</v>
      </c>
      <c r="B216" s="248" t="s">
        <v>453</v>
      </c>
      <c r="C216" s="249"/>
      <c r="D216" s="249"/>
      <c r="E216" s="249"/>
      <c r="F216" s="250"/>
      <c r="G216" s="25"/>
    </row>
    <row r="217" spans="1:6" s="11" customFormat="1" ht="39" customHeight="1">
      <c r="A217" s="276" t="s">
        <v>269</v>
      </c>
      <c r="B217" s="278" t="s">
        <v>460</v>
      </c>
      <c r="C217" s="279"/>
      <c r="D217" s="278" t="s">
        <v>461</v>
      </c>
      <c r="E217" s="279"/>
      <c r="F217" s="280" t="s">
        <v>439</v>
      </c>
    </row>
    <row r="218" spans="1:10" ht="24.75" customHeight="1">
      <c r="A218" s="277"/>
      <c r="B218" s="132" t="s">
        <v>438</v>
      </c>
      <c r="C218" s="133" t="s">
        <v>459</v>
      </c>
      <c r="D218" s="132" t="s">
        <v>438</v>
      </c>
      <c r="E218" s="133" t="s">
        <v>459</v>
      </c>
      <c r="F218" s="281"/>
      <c r="J218" s="11"/>
    </row>
    <row r="219" spans="1:10" ht="18" customHeight="1">
      <c r="A219" s="165" t="s">
        <v>159</v>
      </c>
      <c r="B219" s="131">
        <v>3</v>
      </c>
      <c r="C219" s="146">
        <v>9</v>
      </c>
      <c r="D219" s="131">
        <v>0</v>
      </c>
      <c r="E219" s="146">
        <v>0</v>
      </c>
      <c r="F219" s="134">
        <f aca="true" t="shared" si="8" ref="F219:F234">B219+D219</f>
        <v>3</v>
      </c>
      <c r="G219" s="122"/>
      <c r="J219" s="11"/>
    </row>
    <row r="220" spans="1:10" ht="18" customHeight="1">
      <c r="A220" s="127" t="s">
        <v>160</v>
      </c>
      <c r="B220" s="131">
        <v>2</v>
      </c>
      <c r="C220" s="146">
        <v>9</v>
      </c>
      <c r="D220" s="131">
        <v>0</v>
      </c>
      <c r="E220" s="146">
        <v>0</v>
      </c>
      <c r="F220" s="134">
        <f t="shared" si="8"/>
        <v>2</v>
      </c>
      <c r="G220" s="122"/>
      <c r="J220" s="11"/>
    </row>
    <row r="221" spans="1:10" ht="18" customHeight="1">
      <c r="A221" s="127" t="s">
        <v>161</v>
      </c>
      <c r="B221" s="131">
        <v>3</v>
      </c>
      <c r="C221" s="146">
        <v>10</v>
      </c>
      <c r="D221" s="131">
        <v>0</v>
      </c>
      <c r="E221" s="146">
        <v>0</v>
      </c>
      <c r="F221" s="134">
        <f t="shared" si="8"/>
        <v>3</v>
      </c>
      <c r="G221" s="122"/>
      <c r="J221" s="11"/>
    </row>
    <row r="222" spans="1:10" ht="18" customHeight="1">
      <c r="A222" s="127" t="s">
        <v>162</v>
      </c>
      <c r="B222" s="131">
        <v>9</v>
      </c>
      <c r="C222" s="146">
        <v>9</v>
      </c>
      <c r="D222" s="131">
        <v>0</v>
      </c>
      <c r="E222" s="146">
        <v>0</v>
      </c>
      <c r="F222" s="134">
        <f t="shared" si="8"/>
        <v>9</v>
      </c>
      <c r="G222" s="122"/>
      <c r="J222" s="11"/>
    </row>
    <row r="223" spans="1:10" ht="18" customHeight="1">
      <c r="A223" s="127" t="s">
        <v>163</v>
      </c>
      <c r="B223" s="131">
        <v>3</v>
      </c>
      <c r="C223" s="146">
        <v>9</v>
      </c>
      <c r="D223" s="131">
        <v>0</v>
      </c>
      <c r="E223" s="146">
        <v>0</v>
      </c>
      <c r="F223" s="134">
        <f t="shared" si="8"/>
        <v>3</v>
      </c>
      <c r="G223" s="122"/>
      <c r="J223" s="11"/>
    </row>
    <row r="224" spans="1:10" ht="18" customHeight="1">
      <c r="A224" s="127" t="s">
        <v>164</v>
      </c>
      <c r="B224" s="131">
        <v>4</v>
      </c>
      <c r="C224" s="146">
        <v>8</v>
      </c>
      <c r="D224" s="131">
        <v>0</v>
      </c>
      <c r="E224" s="146">
        <v>0</v>
      </c>
      <c r="F224" s="134">
        <f t="shared" si="8"/>
        <v>4</v>
      </c>
      <c r="G224" s="122"/>
      <c r="J224" s="11"/>
    </row>
    <row r="225" spans="1:10" ht="18" customHeight="1">
      <c r="A225" s="127" t="s">
        <v>255</v>
      </c>
      <c r="B225" s="131">
        <v>50</v>
      </c>
      <c r="C225" s="146">
        <v>9</v>
      </c>
      <c r="D225" s="131">
        <v>0</v>
      </c>
      <c r="E225" s="146">
        <v>0</v>
      </c>
      <c r="F225" s="134">
        <f t="shared" si="8"/>
        <v>50</v>
      </c>
      <c r="G225" s="122"/>
      <c r="J225" s="11"/>
    </row>
    <row r="226" spans="1:10" ht="18" customHeight="1">
      <c r="A226" s="127" t="s">
        <v>165</v>
      </c>
      <c r="B226" s="131">
        <v>1</v>
      </c>
      <c r="C226" s="146">
        <v>9.5</v>
      </c>
      <c r="D226" s="131">
        <v>0</v>
      </c>
      <c r="E226" s="146">
        <v>0</v>
      </c>
      <c r="F226" s="134">
        <f t="shared" si="8"/>
        <v>1</v>
      </c>
      <c r="G226" s="122"/>
      <c r="J226" s="11"/>
    </row>
    <row r="227" spans="1:10" ht="18" customHeight="1">
      <c r="A227" s="127" t="s">
        <v>166</v>
      </c>
      <c r="B227" s="131">
        <v>3</v>
      </c>
      <c r="C227" s="146">
        <v>9</v>
      </c>
      <c r="D227" s="131">
        <v>0</v>
      </c>
      <c r="E227" s="146">
        <v>0</v>
      </c>
      <c r="F227" s="134">
        <f t="shared" si="8"/>
        <v>3</v>
      </c>
      <c r="G227" s="122"/>
      <c r="J227" s="11"/>
    </row>
    <row r="228" spans="1:10" ht="18" customHeight="1">
      <c r="A228" s="127" t="s">
        <v>167</v>
      </c>
      <c r="B228" s="131">
        <v>1</v>
      </c>
      <c r="C228" s="146">
        <v>9</v>
      </c>
      <c r="D228" s="131">
        <v>2</v>
      </c>
      <c r="E228" s="146">
        <v>5.5</v>
      </c>
      <c r="F228" s="134">
        <f t="shared" si="8"/>
        <v>3</v>
      </c>
      <c r="G228" s="122"/>
      <c r="J228" s="11"/>
    </row>
    <row r="229" spans="1:10" ht="18" customHeight="1">
      <c r="A229" s="127" t="s">
        <v>168</v>
      </c>
      <c r="B229" s="131">
        <v>3</v>
      </c>
      <c r="C229" s="146">
        <v>9</v>
      </c>
      <c r="D229" s="131">
        <v>0</v>
      </c>
      <c r="E229" s="146">
        <v>0</v>
      </c>
      <c r="F229" s="134">
        <f t="shared" si="8"/>
        <v>3</v>
      </c>
      <c r="G229" s="122"/>
      <c r="J229" s="11"/>
    </row>
    <row r="230" spans="1:10" ht="18" customHeight="1">
      <c r="A230" s="127" t="s">
        <v>169</v>
      </c>
      <c r="B230" s="131">
        <v>2</v>
      </c>
      <c r="C230" s="146">
        <v>9.5</v>
      </c>
      <c r="D230" s="131">
        <v>0</v>
      </c>
      <c r="E230" s="146">
        <v>0</v>
      </c>
      <c r="F230" s="134">
        <f t="shared" si="8"/>
        <v>2</v>
      </c>
      <c r="G230" s="122"/>
      <c r="J230" s="11"/>
    </row>
    <row r="231" spans="1:10" ht="18" customHeight="1">
      <c r="A231" s="127" t="s">
        <v>154</v>
      </c>
      <c r="B231" s="131">
        <v>3</v>
      </c>
      <c r="C231" s="146">
        <v>10</v>
      </c>
      <c r="D231" s="131">
        <v>0</v>
      </c>
      <c r="E231" s="146">
        <v>0</v>
      </c>
      <c r="F231" s="134">
        <f t="shared" si="8"/>
        <v>3</v>
      </c>
      <c r="G231" s="122"/>
      <c r="J231" s="11"/>
    </row>
    <row r="232" spans="1:10" ht="18" customHeight="1">
      <c r="A232" s="127" t="s">
        <v>155</v>
      </c>
      <c r="B232" s="131">
        <v>3</v>
      </c>
      <c r="C232" s="146">
        <v>10</v>
      </c>
      <c r="D232" s="131">
        <v>0</v>
      </c>
      <c r="E232" s="146">
        <v>0</v>
      </c>
      <c r="F232" s="134">
        <f t="shared" si="8"/>
        <v>3</v>
      </c>
      <c r="G232" s="122"/>
      <c r="J232" s="11"/>
    </row>
    <row r="233" spans="1:10" ht="18" customHeight="1">
      <c r="A233" s="127" t="s">
        <v>156</v>
      </c>
      <c r="B233" s="131">
        <v>2</v>
      </c>
      <c r="C233" s="146">
        <v>8.5</v>
      </c>
      <c r="D233" s="131">
        <v>0</v>
      </c>
      <c r="E233" s="146">
        <v>0</v>
      </c>
      <c r="F233" s="222">
        <f t="shared" si="8"/>
        <v>2</v>
      </c>
      <c r="G233" s="122"/>
      <c r="J233" s="11"/>
    </row>
    <row r="234" spans="1:10" ht="28.5" customHeight="1">
      <c r="A234" s="30" t="s">
        <v>226</v>
      </c>
      <c r="B234" s="172">
        <v>92</v>
      </c>
      <c r="C234" s="221">
        <f>SUM(C219:C233)/15</f>
        <v>9.166666666666666</v>
      </c>
      <c r="D234" s="172">
        <v>2</v>
      </c>
      <c r="E234" s="221">
        <v>5.5</v>
      </c>
      <c r="F234" s="173">
        <f t="shared" si="8"/>
        <v>94</v>
      </c>
      <c r="G234" s="122"/>
      <c r="J234" s="11"/>
    </row>
    <row r="235" ht="24.75" customHeight="1">
      <c r="A235" s="50"/>
    </row>
    <row r="236" ht="12.75">
      <c r="A236" s="57" t="s">
        <v>157</v>
      </c>
    </row>
    <row r="239" spans="1:7" s="11" customFormat="1" ht="60.75" customHeight="1">
      <c r="A239" s="24" t="s">
        <v>446</v>
      </c>
      <c r="B239" s="248" t="s">
        <v>454</v>
      </c>
      <c r="C239" s="249"/>
      <c r="D239" s="249"/>
      <c r="E239" s="249"/>
      <c r="F239" s="250"/>
      <c r="G239" s="25"/>
    </row>
    <row r="240" spans="1:6" s="11" customFormat="1" ht="39" customHeight="1">
      <c r="A240" s="287" t="s">
        <v>269</v>
      </c>
      <c r="B240" s="278" t="s">
        <v>460</v>
      </c>
      <c r="C240" s="279"/>
      <c r="D240" s="278" t="s">
        <v>461</v>
      </c>
      <c r="E240" s="279"/>
      <c r="F240" s="280" t="s">
        <v>439</v>
      </c>
    </row>
    <row r="241" spans="1:6" ht="24.75" customHeight="1">
      <c r="A241" s="287"/>
      <c r="B241" s="132" t="s">
        <v>438</v>
      </c>
      <c r="C241" s="133" t="s">
        <v>459</v>
      </c>
      <c r="D241" s="132" t="s">
        <v>438</v>
      </c>
      <c r="E241" s="133" t="s">
        <v>459</v>
      </c>
      <c r="F241" s="281"/>
    </row>
    <row r="242" spans="1:7" ht="18" customHeight="1">
      <c r="A242" s="127" t="s">
        <v>337</v>
      </c>
      <c r="B242" s="131">
        <v>4</v>
      </c>
      <c r="C242" s="146">
        <v>8.5</v>
      </c>
      <c r="D242" s="131">
        <v>1</v>
      </c>
      <c r="E242" s="146">
        <v>5</v>
      </c>
      <c r="F242" s="134">
        <f aca="true" t="shared" si="9" ref="F242:F254">B242+D242</f>
        <v>5</v>
      </c>
      <c r="G242" s="122"/>
    </row>
    <row r="243" spans="1:7" ht="18" customHeight="1">
      <c r="A243" s="127" t="s">
        <v>338</v>
      </c>
      <c r="B243" s="131">
        <v>6</v>
      </c>
      <c r="C243" s="146">
        <v>9.5</v>
      </c>
      <c r="D243" s="131">
        <v>0</v>
      </c>
      <c r="E243" s="146">
        <v>0</v>
      </c>
      <c r="F243" s="134">
        <f t="shared" si="9"/>
        <v>6</v>
      </c>
      <c r="G243" s="122"/>
    </row>
    <row r="244" spans="1:7" ht="18" customHeight="1">
      <c r="A244" s="127" t="s">
        <v>237</v>
      </c>
      <c r="B244" s="131">
        <v>1</v>
      </c>
      <c r="C244" s="146">
        <v>10</v>
      </c>
      <c r="D244" s="131">
        <v>1</v>
      </c>
      <c r="E244" s="146">
        <v>6</v>
      </c>
      <c r="F244" s="134">
        <f t="shared" si="9"/>
        <v>2</v>
      </c>
      <c r="G244" s="122"/>
    </row>
    <row r="245" spans="1:7" ht="18" customHeight="1">
      <c r="A245" s="127" t="s">
        <v>339</v>
      </c>
      <c r="B245" s="131">
        <v>4</v>
      </c>
      <c r="C245" s="146">
        <v>8.25</v>
      </c>
      <c r="D245" s="131">
        <v>0</v>
      </c>
      <c r="E245" s="146">
        <v>0</v>
      </c>
      <c r="F245" s="134">
        <f t="shared" si="9"/>
        <v>4</v>
      </c>
      <c r="G245" s="122"/>
    </row>
    <row r="246" spans="1:7" ht="18" customHeight="1">
      <c r="A246" s="127" t="s">
        <v>236</v>
      </c>
      <c r="B246" s="131">
        <v>5</v>
      </c>
      <c r="C246" s="146">
        <v>9</v>
      </c>
      <c r="D246" s="131">
        <v>0</v>
      </c>
      <c r="E246" s="146">
        <v>0</v>
      </c>
      <c r="F246" s="134">
        <f t="shared" si="9"/>
        <v>5</v>
      </c>
      <c r="G246" s="122"/>
    </row>
    <row r="247" spans="1:7" ht="18" customHeight="1">
      <c r="A247" s="127" t="s">
        <v>235</v>
      </c>
      <c r="B247" s="131">
        <v>2</v>
      </c>
      <c r="C247" s="146">
        <v>9.5</v>
      </c>
      <c r="D247" s="131">
        <v>0</v>
      </c>
      <c r="E247" s="146">
        <v>0</v>
      </c>
      <c r="F247" s="134">
        <f t="shared" si="9"/>
        <v>2</v>
      </c>
      <c r="G247" s="122"/>
    </row>
    <row r="248" spans="1:7" ht="18" customHeight="1">
      <c r="A248" s="127" t="s">
        <v>234</v>
      </c>
      <c r="B248" s="131">
        <v>3</v>
      </c>
      <c r="C248" s="146">
        <v>9</v>
      </c>
      <c r="D248" s="131">
        <v>1</v>
      </c>
      <c r="E248" s="146">
        <v>6</v>
      </c>
      <c r="F248" s="134">
        <f t="shared" si="9"/>
        <v>4</v>
      </c>
      <c r="G248" s="122"/>
    </row>
    <row r="249" spans="1:7" ht="18" customHeight="1">
      <c r="A249" s="127" t="s">
        <v>233</v>
      </c>
      <c r="B249" s="131">
        <v>6</v>
      </c>
      <c r="C249" s="146">
        <v>9.479166666666666</v>
      </c>
      <c r="D249" s="131">
        <v>0</v>
      </c>
      <c r="E249" s="146">
        <v>0</v>
      </c>
      <c r="F249" s="134">
        <f t="shared" si="9"/>
        <v>6</v>
      </c>
      <c r="G249" s="122"/>
    </row>
    <row r="250" spans="1:7" ht="18" customHeight="1">
      <c r="A250" s="127" t="s">
        <v>232</v>
      </c>
      <c r="B250" s="131">
        <v>5</v>
      </c>
      <c r="C250" s="146">
        <v>10</v>
      </c>
      <c r="D250" s="131">
        <v>0</v>
      </c>
      <c r="E250" s="146">
        <v>0</v>
      </c>
      <c r="F250" s="134">
        <f t="shared" si="9"/>
        <v>5</v>
      </c>
      <c r="G250" s="122"/>
    </row>
    <row r="251" spans="1:7" ht="18" customHeight="1">
      <c r="A251" s="127" t="s">
        <v>256</v>
      </c>
      <c r="B251" s="131">
        <v>26</v>
      </c>
      <c r="C251" s="146">
        <v>9.5</v>
      </c>
      <c r="D251" s="131">
        <v>7</v>
      </c>
      <c r="E251" s="146">
        <v>7</v>
      </c>
      <c r="F251" s="134">
        <f t="shared" si="9"/>
        <v>33</v>
      </c>
      <c r="G251" s="122"/>
    </row>
    <row r="252" spans="1:7" ht="18" customHeight="1">
      <c r="A252" s="127" t="s">
        <v>231</v>
      </c>
      <c r="B252" s="131">
        <v>1</v>
      </c>
      <c r="C252" s="146">
        <v>10</v>
      </c>
      <c r="D252" s="131">
        <v>1</v>
      </c>
      <c r="E252" s="146">
        <v>6</v>
      </c>
      <c r="F252" s="134">
        <f t="shared" si="9"/>
        <v>2</v>
      </c>
      <c r="G252" s="122"/>
    </row>
    <row r="253" spans="1:7" ht="18" customHeight="1">
      <c r="A253" s="127" t="s">
        <v>340</v>
      </c>
      <c r="B253" s="170">
        <v>4</v>
      </c>
      <c r="C253" s="220">
        <v>8</v>
      </c>
      <c r="D253" s="170">
        <v>0</v>
      </c>
      <c r="E253" s="220">
        <v>0</v>
      </c>
      <c r="F253" s="222">
        <f t="shared" si="9"/>
        <v>4</v>
      </c>
      <c r="G253" s="122"/>
    </row>
    <row r="254" spans="1:10" ht="28.5" customHeight="1">
      <c r="A254" s="30" t="s">
        <v>182</v>
      </c>
      <c r="B254" s="172">
        <f>SUM(B242:B253)</f>
        <v>67</v>
      </c>
      <c r="C254" s="221">
        <f>SUM(C242:C253)/12</f>
        <v>9.227430555555555</v>
      </c>
      <c r="D254" s="172">
        <f>SUM(D242:D253)</f>
        <v>11</v>
      </c>
      <c r="E254" s="221">
        <f>SUM(E242:E253)/5</f>
        <v>6</v>
      </c>
      <c r="F254" s="173">
        <f t="shared" si="9"/>
        <v>78</v>
      </c>
      <c r="G254" s="122"/>
      <c r="J254" s="11"/>
    </row>
    <row r="257" spans="1:7" s="11" customFormat="1" ht="60.75" customHeight="1">
      <c r="A257" s="24" t="s">
        <v>446</v>
      </c>
      <c r="B257" s="248" t="s">
        <v>455</v>
      </c>
      <c r="C257" s="249"/>
      <c r="D257" s="249"/>
      <c r="E257" s="249"/>
      <c r="F257" s="250"/>
      <c r="G257" s="25"/>
    </row>
    <row r="258" spans="1:6" s="11" customFormat="1" ht="39" customHeight="1">
      <c r="A258" s="276" t="s">
        <v>269</v>
      </c>
      <c r="B258" s="278" t="s">
        <v>460</v>
      </c>
      <c r="C258" s="279"/>
      <c r="D258" s="278" t="s">
        <v>461</v>
      </c>
      <c r="E258" s="279"/>
      <c r="F258" s="280" t="s">
        <v>439</v>
      </c>
    </row>
    <row r="259" spans="1:6" ht="24.75" customHeight="1">
      <c r="A259" s="277"/>
      <c r="B259" s="132" t="s">
        <v>438</v>
      </c>
      <c r="C259" s="133" t="s">
        <v>459</v>
      </c>
      <c r="D259" s="132" t="s">
        <v>438</v>
      </c>
      <c r="E259" s="133" t="s">
        <v>459</v>
      </c>
      <c r="F259" s="281"/>
    </row>
    <row r="260" spans="1:7" ht="18" customHeight="1">
      <c r="A260" s="165" t="s">
        <v>341</v>
      </c>
      <c r="B260" s="131">
        <v>0</v>
      </c>
      <c r="C260" s="146">
        <v>0</v>
      </c>
      <c r="D260" s="131">
        <v>1</v>
      </c>
      <c r="E260" s="146">
        <v>6</v>
      </c>
      <c r="F260" s="134">
        <f aca="true" t="shared" si="10" ref="F260:F271">B260+D260</f>
        <v>1</v>
      </c>
      <c r="G260" s="122"/>
    </row>
    <row r="261" spans="1:7" ht="18" customHeight="1">
      <c r="A261" s="127" t="s">
        <v>153</v>
      </c>
      <c r="B261" s="131">
        <v>2</v>
      </c>
      <c r="C261" s="146">
        <v>8</v>
      </c>
      <c r="D261" s="131">
        <v>0</v>
      </c>
      <c r="E261" s="146">
        <v>0</v>
      </c>
      <c r="F261" s="134">
        <f t="shared" si="10"/>
        <v>2</v>
      </c>
      <c r="G261" s="122"/>
    </row>
    <row r="262" spans="1:7" ht="18" customHeight="1">
      <c r="A262" s="127" t="s">
        <v>152</v>
      </c>
      <c r="B262" s="131">
        <v>19</v>
      </c>
      <c r="C262" s="146">
        <v>7.857142857142855</v>
      </c>
      <c r="D262" s="131">
        <v>1</v>
      </c>
      <c r="E262" s="146">
        <v>6.5</v>
      </c>
      <c r="F262" s="134">
        <f t="shared" si="10"/>
        <v>20</v>
      </c>
      <c r="G262" s="122"/>
    </row>
    <row r="263" spans="1:7" ht="18" customHeight="1">
      <c r="A263" s="127" t="s">
        <v>151</v>
      </c>
      <c r="B263" s="131">
        <v>2</v>
      </c>
      <c r="C263" s="146">
        <v>7.833333333333332</v>
      </c>
      <c r="D263" s="131">
        <v>1</v>
      </c>
      <c r="E263" s="146">
        <v>5</v>
      </c>
      <c r="F263" s="134">
        <f t="shared" si="10"/>
        <v>3</v>
      </c>
      <c r="G263" s="122"/>
    </row>
    <row r="264" spans="1:7" ht="18" customHeight="1">
      <c r="A264" s="127" t="s">
        <v>150</v>
      </c>
      <c r="B264" s="131">
        <v>29</v>
      </c>
      <c r="C264" s="146">
        <v>9.648148148148149</v>
      </c>
      <c r="D264" s="131">
        <v>1</v>
      </c>
      <c r="E264" s="146">
        <v>6</v>
      </c>
      <c r="F264" s="134">
        <f t="shared" si="10"/>
        <v>30</v>
      </c>
      <c r="G264" s="122"/>
    </row>
    <row r="265" spans="1:7" ht="18" customHeight="1">
      <c r="A265" s="127" t="s">
        <v>149</v>
      </c>
      <c r="B265" s="131">
        <v>2</v>
      </c>
      <c r="C265" s="146">
        <v>11</v>
      </c>
      <c r="D265" s="131">
        <v>0</v>
      </c>
      <c r="E265" s="146">
        <v>0</v>
      </c>
      <c r="F265" s="134">
        <f t="shared" si="10"/>
        <v>2</v>
      </c>
      <c r="G265" s="122"/>
    </row>
    <row r="266" spans="1:7" ht="18" customHeight="1">
      <c r="A266" s="127" t="s">
        <v>148</v>
      </c>
      <c r="B266" s="131">
        <v>3</v>
      </c>
      <c r="C266" s="146">
        <v>8.25</v>
      </c>
      <c r="D266" s="131">
        <v>0</v>
      </c>
      <c r="E266" s="146">
        <v>0</v>
      </c>
      <c r="F266" s="134">
        <f t="shared" si="10"/>
        <v>3</v>
      </c>
      <c r="G266" s="122"/>
    </row>
    <row r="267" spans="1:7" ht="18" customHeight="1">
      <c r="A267" s="127" t="s">
        <v>147</v>
      </c>
      <c r="B267" s="131">
        <v>1</v>
      </c>
      <c r="C267" s="146">
        <v>7.5</v>
      </c>
      <c r="D267" s="131">
        <v>0</v>
      </c>
      <c r="E267" s="146">
        <v>0</v>
      </c>
      <c r="F267" s="134">
        <f t="shared" si="10"/>
        <v>1</v>
      </c>
      <c r="G267" s="122"/>
    </row>
    <row r="268" spans="1:7" ht="18" customHeight="1">
      <c r="A268" s="127" t="s">
        <v>146</v>
      </c>
      <c r="B268" s="131">
        <v>2</v>
      </c>
      <c r="C268" s="146">
        <v>8.5</v>
      </c>
      <c r="D268" s="131">
        <v>0</v>
      </c>
      <c r="E268" s="146">
        <v>0</v>
      </c>
      <c r="F268" s="134">
        <f t="shared" si="10"/>
        <v>2</v>
      </c>
      <c r="G268" s="122"/>
    </row>
    <row r="269" spans="1:7" ht="18" customHeight="1">
      <c r="A269" s="127" t="s">
        <v>145</v>
      </c>
      <c r="B269" s="131">
        <v>2</v>
      </c>
      <c r="C269" s="146">
        <v>8.5</v>
      </c>
      <c r="D269" s="131">
        <v>1</v>
      </c>
      <c r="E269" s="146">
        <v>5.25</v>
      </c>
      <c r="F269" s="134">
        <f t="shared" si="10"/>
        <v>3</v>
      </c>
      <c r="G269" s="122"/>
    </row>
    <row r="270" spans="1:7" ht="18" customHeight="1">
      <c r="A270" s="127" t="s">
        <v>144</v>
      </c>
      <c r="B270" s="131">
        <v>3</v>
      </c>
      <c r="C270" s="146">
        <v>8.5</v>
      </c>
      <c r="D270" s="131">
        <v>1</v>
      </c>
      <c r="E270" s="146">
        <v>5.5</v>
      </c>
      <c r="F270" s="134">
        <f t="shared" si="10"/>
        <v>4</v>
      </c>
      <c r="G270" s="122"/>
    </row>
    <row r="271" spans="1:10" ht="28.5" customHeight="1">
      <c r="A271" s="30" t="s">
        <v>183</v>
      </c>
      <c r="B271" s="172">
        <f>SUM(B260:B270)</f>
        <v>65</v>
      </c>
      <c r="C271" s="221">
        <f>SUM(C260:C270)/10</f>
        <v>8.558862433862434</v>
      </c>
      <c r="D271" s="172">
        <f>SUM(D260:D270)</f>
        <v>6</v>
      </c>
      <c r="E271" s="221">
        <f>SUM(E260:E270)/6</f>
        <v>5.708333333333333</v>
      </c>
      <c r="F271" s="173">
        <f t="shared" si="10"/>
        <v>71</v>
      </c>
      <c r="G271" s="122"/>
      <c r="J271" s="11"/>
    </row>
    <row r="274" spans="1:7" s="11" customFormat="1" ht="60.75" customHeight="1">
      <c r="A274" s="24" t="s">
        <v>446</v>
      </c>
      <c r="B274" s="248" t="s">
        <v>456</v>
      </c>
      <c r="C274" s="249"/>
      <c r="D274" s="249"/>
      <c r="E274" s="249"/>
      <c r="F274" s="250"/>
      <c r="G274" s="25"/>
    </row>
    <row r="275" spans="1:6" s="11" customFormat="1" ht="39" customHeight="1">
      <c r="A275" s="276" t="s">
        <v>269</v>
      </c>
      <c r="B275" s="278" t="s">
        <v>460</v>
      </c>
      <c r="C275" s="279"/>
      <c r="D275" s="278" t="s">
        <v>461</v>
      </c>
      <c r="E275" s="279"/>
      <c r="F275" s="280" t="s">
        <v>439</v>
      </c>
    </row>
    <row r="276" spans="1:6" ht="24.75" customHeight="1">
      <c r="A276" s="277"/>
      <c r="B276" s="132" t="s">
        <v>438</v>
      </c>
      <c r="C276" s="133" t="s">
        <v>459</v>
      </c>
      <c r="D276" s="132" t="s">
        <v>438</v>
      </c>
      <c r="E276" s="133" t="s">
        <v>459</v>
      </c>
      <c r="F276" s="281"/>
    </row>
    <row r="277" spans="1:7" ht="18" customHeight="1">
      <c r="A277" s="165" t="s">
        <v>342</v>
      </c>
      <c r="B277" s="131">
        <v>4</v>
      </c>
      <c r="C277" s="146">
        <v>8</v>
      </c>
      <c r="D277" s="131">
        <v>0</v>
      </c>
      <c r="E277" s="146">
        <v>0</v>
      </c>
      <c r="F277" s="134">
        <f>B277+D277</f>
        <v>4</v>
      </c>
      <c r="G277" s="122"/>
    </row>
    <row r="278" spans="1:7" ht="18" customHeight="1">
      <c r="A278" s="127" t="s">
        <v>343</v>
      </c>
      <c r="B278" s="131">
        <v>4</v>
      </c>
      <c r="C278" s="146">
        <v>8</v>
      </c>
      <c r="D278" s="131">
        <v>1</v>
      </c>
      <c r="E278" s="146">
        <v>5</v>
      </c>
      <c r="F278" s="134">
        <f aca="true" t="shared" si="11" ref="F278:F285">B278+D278</f>
        <v>5</v>
      </c>
      <c r="G278" s="122"/>
    </row>
    <row r="279" spans="1:7" ht="18" customHeight="1">
      <c r="A279" s="127" t="s">
        <v>345</v>
      </c>
      <c r="B279" s="131">
        <v>4</v>
      </c>
      <c r="C279" s="146">
        <v>8</v>
      </c>
      <c r="D279" s="131">
        <v>0</v>
      </c>
      <c r="E279" s="146">
        <v>0</v>
      </c>
      <c r="F279" s="134">
        <f t="shared" si="11"/>
        <v>4</v>
      </c>
      <c r="G279" s="122"/>
    </row>
    <row r="280" spans="1:7" ht="18" customHeight="1">
      <c r="A280" s="127" t="s">
        <v>346</v>
      </c>
      <c r="B280" s="131">
        <v>1</v>
      </c>
      <c r="C280" s="146">
        <v>8</v>
      </c>
      <c r="D280" s="131">
        <v>0</v>
      </c>
      <c r="E280" s="146">
        <v>0</v>
      </c>
      <c r="F280" s="134">
        <f t="shared" si="11"/>
        <v>1</v>
      </c>
      <c r="G280" s="122"/>
    </row>
    <row r="281" spans="1:7" ht="18" customHeight="1">
      <c r="A281" s="127" t="s">
        <v>348</v>
      </c>
      <c r="B281" s="131">
        <v>12</v>
      </c>
      <c r="C281" s="146">
        <f>32/4</f>
        <v>8</v>
      </c>
      <c r="D281" s="131">
        <v>0</v>
      </c>
      <c r="E281" s="146">
        <v>0</v>
      </c>
      <c r="F281" s="134">
        <f t="shared" si="11"/>
        <v>12</v>
      </c>
      <c r="G281" s="122"/>
    </row>
    <row r="282" spans="1:7" ht="18" customHeight="1">
      <c r="A282" s="127" t="s">
        <v>258</v>
      </c>
      <c r="B282" s="131">
        <v>24</v>
      </c>
      <c r="C282" s="146">
        <v>8</v>
      </c>
      <c r="D282" s="131">
        <v>4</v>
      </c>
      <c r="E282" s="146">
        <v>6</v>
      </c>
      <c r="F282" s="134">
        <f t="shared" si="11"/>
        <v>28</v>
      </c>
      <c r="G282" s="122"/>
    </row>
    <row r="283" spans="1:7" ht="18" customHeight="1">
      <c r="A283" s="127" t="s">
        <v>350</v>
      </c>
      <c r="B283" s="131">
        <v>2</v>
      </c>
      <c r="C283" s="146">
        <v>8.333333333333332</v>
      </c>
      <c r="D283" s="131">
        <v>2</v>
      </c>
      <c r="E283" s="146">
        <v>5</v>
      </c>
      <c r="F283" s="134">
        <f t="shared" si="11"/>
        <v>4</v>
      </c>
      <c r="G283" s="122"/>
    </row>
    <row r="284" spans="1:7" ht="18" customHeight="1">
      <c r="A284" s="127" t="s">
        <v>351</v>
      </c>
      <c r="B284" s="131">
        <v>3</v>
      </c>
      <c r="C284" s="146">
        <v>8</v>
      </c>
      <c r="D284" s="131">
        <v>0</v>
      </c>
      <c r="E284" s="146">
        <v>0</v>
      </c>
      <c r="F284" s="134">
        <f t="shared" si="11"/>
        <v>3</v>
      </c>
      <c r="G284" s="122"/>
    </row>
    <row r="285" spans="1:10" ht="28.5" customHeight="1">
      <c r="A285" s="30" t="s">
        <v>184</v>
      </c>
      <c r="B285" s="172">
        <v>54</v>
      </c>
      <c r="C285" s="221">
        <f>SUM(C277:C284)/8</f>
        <v>8.041666666666666</v>
      </c>
      <c r="D285" s="172">
        <v>7</v>
      </c>
      <c r="E285" s="221">
        <f>SUM(E277:E284)/3</f>
        <v>5.333333333333333</v>
      </c>
      <c r="F285" s="173">
        <f t="shared" si="11"/>
        <v>61</v>
      </c>
      <c r="G285" s="122"/>
      <c r="J285" s="11"/>
    </row>
    <row r="286" ht="12.75">
      <c r="A286" s="50"/>
    </row>
    <row r="287" ht="12.75">
      <c r="A287" s="37" t="s">
        <v>276</v>
      </c>
    </row>
    <row r="288" ht="10.5">
      <c r="A288" s="122"/>
    </row>
  </sheetData>
  <mergeCells count="56">
    <mergeCell ref="B216:F216"/>
    <mergeCell ref="D167:E167"/>
    <mergeCell ref="B52:C52"/>
    <mergeCell ref="D52:E52"/>
    <mergeCell ref="F52:F53"/>
    <mergeCell ref="A2:A3"/>
    <mergeCell ref="B2:C2"/>
    <mergeCell ref="A52:A53"/>
    <mergeCell ref="B51:F51"/>
    <mergeCell ref="D2:E2"/>
    <mergeCell ref="F2:F3"/>
    <mergeCell ref="A49:G49"/>
    <mergeCell ref="A128:A129"/>
    <mergeCell ref="B274:F274"/>
    <mergeCell ref="A275:A276"/>
    <mergeCell ref="B275:C275"/>
    <mergeCell ref="D275:E275"/>
    <mergeCell ref="F275:F276"/>
    <mergeCell ref="B257:F257"/>
    <mergeCell ref="A258:A259"/>
    <mergeCell ref="B258:C258"/>
    <mergeCell ref="B239:F239"/>
    <mergeCell ref="D258:E258"/>
    <mergeCell ref="F258:F259"/>
    <mergeCell ref="A217:A218"/>
    <mergeCell ref="B217:C217"/>
    <mergeCell ref="A240:A241"/>
    <mergeCell ref="B240:C240"/>
    <mergeCell ref="D240:E240"/>
    <mergeCell ref="F240:F241"/>
    <mergeCell ref="D217:E217"/>
    <mergeCell ref="F217:F218"/>
    <mergeCell ref="B128:C128"/>
    <mergeCell ref="D128:E128"/>
    <mergeCell ref="F128:F129"/>
    <mergeCell ref="B127:F127"/>
    <mergeCell ref="B68:F68"/>
    <mergeCell ref="B90:C90"/>
    <mergeCell ref="D90:E90"/>
    <mergeCell ref="F90:F91"/>
    <mergeCell ref="B89:F89"/>
    <mergeCell ref="F69:F70"/>
    <mergeCell ref="A167:A168"/>
    <mergeCell ref="B167:C167"/>
    <mergeCell ref="B166:F166"/>
    <mergeCell ref="F167:F168"/>
    <mergeCell ref="G2:G3"/>
    <mergeCell ref="B1:G1"/>
    <mergeCell ref="A203:A204"/>
    <mergeCell ref="B203:C203"/>
    <mergeCell ref="D203:E203"/>
    <mergeCell ref="F203:F204"/>
    <mergeCell ref="A90:A91"/>
    <mergeCell ref="A69:A70"/>
    <mergeCell ref="B69:C69"/>
    <mergeCell ref="D69:E69"/>
  </mergeCells>
  <printOptions/>
  <pageMargins left="0.75" right="0.75" top="1" bottom="1" header="0.5" footer="0.5"/>
  <pageSetup horizontalDpi="600" verticalDpi="600" orientation="portrait" paperSize="9" scale="90" r:id="rId2"/>
  <rowBreaks count="9" manualBreakCount="9">
    <brk id="50" max="255" man="1"/>
    <brk id="67" max="255" man="1"/>
    <brk id="88" max="255" man="1"/>
    <brk id="126" max="255" man="1"/>
    <brk id="164" max="255" man="1"/>
    <brk id="202" max="255" man="1"/>
    <brk id="213" max="255" man="1"/>
    <brk id="238" max="255" man="1"/>
    <brk id="27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3"/>
  <sheetViews>
    <sheetView zoomScale="75" zoomScaleNormal="75" workbookViewId="0" topLeftCell="A1">
      <selection activeCell="L23" sqref="L23"/>
    </sheetView>
  </sheetViews>
  <sheetFormatPr defaultColWidth="9.140625" defaultRowHeight="12.75"/>
  <cols>
    <col min="1" max="1" width="23.7109375" style="0" customWidth="1"/>
    <col min="7" max="7" width="11.421875" style="0" bestFit="1" customWidth="1"/>
  </cols>
  <sheetData>
    <row r="1" spans="1:7" ht="61.5" customHeight="1">
      <c r="A1" s="126" t="s">
        <v>462</v>
      </c>
      <c r="B1" s="237" t="s">
        <v>29</v>
      </c>
      <c r="C1" s="238"/>
      <c r="D1" s="238"/>
      <c r="E1" s="238"/>
      <c r="F1" s="238"/>
      <c r="G1" s="252"/>
    </row>
    <row r="2" spans="1:8" s="122" customFormat="1" ht="30.75" customHeight="1">
      <c r="A2" s="255" t="s">
        <v>185</v>
      </c>
      <c r="B2" s="278" t="s">
        <v>460</v>
      </c>
      <c r="C2" s="279"/>
      <c r="D2" s="278" t="s">
        <v>461</v>
      </c>
      <c r="E2" s="279"/>
      <c r="F2" s="280" t="s">
        <v>439</v>
      </c>
      <c r="G2" s="286" t="s">
        <v>30</v>
      </c>
      <c r="H2" s="20"/>
    </row>
    <row r="3" spans="1:8" s="122" customFormat="1" ht="30.75" customHeight="1">
      <c r="A3" s="256"/>
      <c r="B3" s="132" t="s">
        <v>438</v>
      </c>
      <c r="C3" s="133" t="s">
        <v>459</v>
      </c>
      <c r="D3" s="132" t="s">
        <v>438</v>
      </c>
      <c r="E3" s="133" t="s">
        <v>459</v>
      </c>
      <c r="F3" s="281"/>
      <c r="G3" s="286"/>
      <c r="H3" s="20"/>
    </row>
    <row r="4" spans="1:8" s="175" customFormat="1" ht="15" customHeight="1">
      <c r="A4" s="3" t="s">
        <v>250</v>
      </c>
      <c r="B4" s="182">
        <f>B54</f>
        <v>6</v>
      </c>
      <c r="C4" s="188">
        <f>C54</f>
        <v>8.75</v>
      </c>
      <c r="D4" s="181">
        <f>D54</f>
        <v>2</v>
      </c>
      <c r="E4" s="188">
        <f>E54</f>
        <v>5.4</v>
      </c>
      <c r="F4" s="183">
        <f>F54</f>
        <v>8</v>
      </c>
      <c r="G4" s="193">
        <f>F4/$F$13*100</f>
        <v>3.375527426160337</v>
      </c>
      <c r="H4" s="20"/>
    </row>
    <row r="5" spans="1:8" s="175" customFormat="1" ht="15" customHeight="1">
      <c r="A5" s="3" t="s">
        <v>251</v>
      </c>
      <c r="B5" s="184">
        <f>B67</f>
        <v>22</v>
      </c>
      <c r="C5" s="189">
        <f>C67</f>
        <v>8.928571428571429</v>
      </c>
      <c r="D5" s="177">
        <f>D67</f>
        <v>1</v>
      </c>
      <c r="E5" s="189">
        <f>E67</f>
        <v>7.5</v>
      </c>
      <c r="F5" s="185">
        <f>F67</f>
        <v>23</v>
      </c>
      <c r="G5" s="194">
        <f aca="true" t="shared" si="0" ref="G5:G13">F5/$F$13*100</f>
        <v>9.70464135021097</v>
      </c>
      <c r="H5" s="20"/>
    </row>
    <row r="6" spans="1:8" s="175" customFormat="1" ht="15" customHeight="1">
      <c r="A6" s="3" t="s">
        <v>252</v>
      </c>
      <c r="B6" s="184">
        <f>B79</f>
        <v>42</v>
      </c>
      <c r="C6" s="189">
        <f>C79</f>
        <v>8.341836734693876</v>
      </c>
      <c r="D6" s="177">
        <f>D79</f>
        <v>3</v>
      </c>
      <c r="E6" s="189">
        <f>E79</f>
        <v>6</v>
      </c>
      <c r="F6" s="185">
        <f>F79</f>
        <v>45</v>
      </c>
      <c r="G6" s="194">
        <f t="shared" si="0"/>
        <v>18.9873417721519</v>
      </c>
      <c r="H6" s="20"/>
    </row>
    <row r="7" spans="1:8" s="175" customFormat="1" ht="15" customHeight="1">
      <c r="A7" s="3" t="s">
        <v>253</v>
      </c>
      <c r="B7" s="184">
        <f>B92</f>
        <v>42</v>
      </c>
      <c r="C7" s="189">
        <f>C92</f>
        <v>8.23875</v>
      </c>
      <c r="D7" s="177">
        <f>D92</f>
        <v>7</v>
      </c>
      <c r="E7" s="189">
        <f>E92</f>
        <v>5.066666666666666</v>
      </c>
      <c r="F7" s="185">
        <f>F92</f>
        <v>49</v>
      </c>
      <c r="G7" s="194">
        <f t="shared" si="0"/>
        <v>20.675105485232066</v>
      </c>
      <c r="H7" s="20"/>
    </row>
    <row r="8" spans="1:8" s="175" customFormat="1" ht="15" customHeight="1">
      <c r="A8" s="3" t="s">
        <v>254</v>
      </c>
      <c r="B8" s="184">
        <f>B113</f>
        <v>43</v>
      </c>
      <c r="C8" s="189">
        <f>C113</f>
        <v>9.347222222222221</v>
      </c>
      <c r="D8" s="177">
        <f>D113</f>
        <v>6</v>
      </c>
      <c r="E8" s="189">
        <f>E113</f>
        <v>6.333333333333333</v>
      </c>
      <c r="F8" s="185">
        <f>F113</f>
        <v>49</v>
      </c>
      <c r="G8" s="194">
        <f t="shared" si="0"/>
        <v>20.675105485232066</v>
      </c>
      <c r="H8" s="20"/>
    </row>
    <row r="9" spans="1:8" s="175" customFormat="1" ht="15" customHeight="1">
      <c r="A9" s="3" t="s">
        <v>255</v>
      </c>
      <c r="B9" s="184">
        <f>B123</f>
        <v>8</v>
      </c>
      <c r="C9" s="189">
        <f>C123</f>
        <v>9.3125</v>
      </c>
      <c r="D9" s="177">
        <f>D123</f>
        <v>0</v>
      </c>
      <c r="E9" s="189">
        <f>E123</f>
        <v>0</v>
      </c>
      <c r="F9" s="185">
        <f>F123</f>
        <v>8</v>
      </c>
      <c r="G9" s="194">
        <f t="shared" si="0"/>
        <v>3.375527426160337</v>
      </c>
      <c r="H9" s="20"/>
    </row>
    <row r="10" spans="1:8" s="175" customFormat="1" ht="15" customHeight="1">
      <c r="A10" s="3" t="s">
        <v>256</v>
      </c>
      <c r="B10" s="184">
        <f>B135</f>
        <v>33</v>
      </c>
      <c r="C10" s="189">
        <f>C135</f>
        <v>9.333333333333334</v>
      </c>
      <c r="D10" s="177">
        <f>D135</f>
        <v>1</v>
      </c>
      <c r="E10" s="189">
        <f>E135</f>
        <v>6.5</v>
      </c>
      <c r="F10" s="185">
        <f>F135</f>
        <v>34</v>
      </c>
      <c r="G10" s="194">
        <f t="shared" si="0"/>
        <v>14.345991561181433</v>
      </c>
      <c r="H10" s="20"/>
    </row>
    <row r="11" spans="1:7" s="175" customFormat="1" ht="15" customHeight="1">
      <c r="A11" s="3" t="s">
        <v>257</v>
      </c>
      <c r="B11" s="184">
        <f>B151</f>
        <v>13</v>
      </c>
      <c r="C11" s="189">
        <f>C151</f>
        <v>8.571428571428571</v>
      </c>
      <c r="D11" s="177">
        <f>D151</f>
        <v>2</v>
      </c>
      <c r="E11" s="189">
        <f>E151</f>
        <v>6.875</v>
      </c>
      <c r="F11" s="185">
        <f>F151</f>
        <v>15</v>
      </c>
      <c r="G11" s="194">
        <f t="shared" si="0"/>
        <v>6.329113924050633</v>
      </c>
    </row>
    <row r="12" spans="1:7" s="175" customFormat="1" ht="15" customHeight="1">
      <c r="A12" s="3" t="s">
        <v>258</v>
      </c>
      <c r="B12" s="186">
        <f>B163</f>
        <v>2</v>
      </c>
      <c r="C12" s="190">
        <f>C163</f>
        <v>8.5</v>
      </c>
      <c r="D12" s="178">
        <f>D163</f>
        <v>4</v>
      </c>
      <c r="E12" s="190">
        <f>E163</f>
        <v>5.566666666666666</v>
      </c>
      <c r="F12" s="187">
        <f>F163</f>
        <v>6</v>
      </c>
      <c r="G12" s="195">
        <f t="shared" si="0"/>
        <v>2.5316455696202533</v>
      </c>
    </row>
    <row r="13" spans="1:7" s="176" customFormat="1" ht="15" customHeight="1">
      <c r="A13" s="4" t="s">
        <v>259</v>
      </c>
      <c r="B13" s="179">
        <f>SUM(B4:B12)</f>
        <v>211</v>
      </c>
      <c r="C13" s="191">
        <f>SUM(C4:C12)/9</f>
        <v>8.813738032249937</v>
      </c>
      <c r="D13" s="179">
        <f>SUM(D4:D12)</f>
        <v>26</v>
      </c>
      <c r="E13" s="191">
        <f>SUM(E4:E12)/8</f>
        <v>6.1552083333333325</v>
      </c>
      <c r="F13" s="179">
        <f>SUM(F4:F12)</f>
        <v>237</v>
      </c>
      <c r="G13" s="191">
        <f t="shared" si="0"/>
        <v>100</v>
      </c>
    </row>
    <row r="15" ht="12.75">
      <c r="A15" s="124" t="s">
        <v>25</v>
      </c>
    </row>
    <row r="18" spans="3:4" ht="27">
      <c r="C18" s="133" t="s">
        <v>26</v>
      </c>
      <c r="D18" s="133" t="s">
        <v>27</v>
      </c>
    </row>
    <row r="19" spans="2:4" ht="12.75">
      <c r="B19" s="3" t="s">
        <v>250</v>
      </c>
      <c r="C19" s="182">
        <f>B4</f>
        <v>6</v>
      </c>
      <c r="D19" s="207">
        <f>D4</f>
        <v>2</v>
      </c>
    </row>
    <row r="20" spans="2:4" ht="12.75">
      <c r="B20" s="3" t="s">
        <v>251</v>
      </c>
      <c r="C20" s="182">
        <f aca="true" t="shared" si="1" ref="C20:C27">B5</f>
        <v>22</v>
      </c>
      <c r="D20" s="207">
        <f aca="true" t="shared" si="2" ref="D20:D27">D5</f>
        <v>1</v>
      </c>
    </row>
    <row r="21" spans="2:4" ht="12.75">
      <c r="B21" s="3" t="s">
        <v>252</v>
      </c>
      <c r="C21" s="182">
        <f t="shared" si="1"/>
        <v>42</v>
      </c>
      <c r="D21" s="207">
        <f t="shared" si="2"/>
        <v>3</v>
      </c>
    </row>
    <row r="22" spans="2:4" ht="12.75">
      <c r="B22" s="3" t="s">
        <v>253</v>
      </c>
      <c r="C22" s="182">
        <f t="shared" si="1"/>
        <v>42</v>
      </c>
      <c r="D22" s="207">
        <f t="shared" si="2"/>
        <v>7</v>
      </c>
    </row>
    <row r="23" spans="2:4" ht="12.75">
      <c r="B23" s="3" t="s">
        <v>254</v>
      </c>
      <c r="C23" s="182">
        <f t="shared" si="1"/>
        <v>43</v>
      </c>
      <c r="D23" s="207">
        <f t="shared" si="2"/>
        <v>6</v>
      </c>
    </row>
    <row r="24" spans="2:4" ht="12.75">
      <c r="B24" s="3" t="s">
        <v>255</v>
      </c>
      <c r="C24" s="182">
        <f t="shared" si="1"/>
        <v>8</v>
      </c>
      <c r="D24" s="207">
        <f t="shared" si="2"/>
        <v>0</v>
      </c>
    </row>
    <row r="25" spans="2:4" ht="12.75">
      <c r="B25" s="3" t="s">
        <v>256</v>
      </c>
      <c r="C25" s="182">
        <f t="shared" si="1"/>
        <v>33</v>
      </c>
      <c r="D25" s="207">
        <f t="shared" si="2"/>
        <v>1</v>
      </c>
    </row>
    <row r="26" spans="2:4" ht="12.75">
      <c r="B26" s="3" t="s">
        <v>257</v>
      </c>
      <c r="C26" s="182">
        <f t="shared" si="1"/>
        <v>13</v>
      </c>
      <c r="D26" s="207">
        <f t="shared" si="2"/>
        <v>2</v>
      </c>
    </row>
    <row r="27" spans="2:4" ht="12.75">
      <c r="B27" s="3" t="s">
        <v>258</v>
      </c>
      <c r="C27" s="182">
        <f t="shared" si="1"/>
        <v>2</v>
      </c>
      <c r="D27" s="207">
        <f t="shared" si="2"/>
        <v>4</v>
      </c>
    </row>
    <row r="43" spans="1:8" s="163" customFormat="1" ht="27" customHeight="1">
      <c r="A43" s="285" t="s">
        <v>272</v>
      </c>
      <c r="B43" s="285"/>
      <c r="C43" s="285"/>
      <c r="D43" s="285"/>
      <c r="E43" s="285"/>
      <c r="F43" s="285"/>
      <c r="G43" s="285"/>
      <c r="H43" s="180"/>
    </row>
    <row r="46" spans="1:7" s="11" customFormat="1" ht="60.75" customHeight="1">
      <c r="A46" s="24" t="s">
        <v>462</v>
      </c>
      <c r="B46" s="248" t="s">
        <v>463</v>
      </c>
      <c r="C46" s="249"/>
      <c r="D46" s="249"/>
      <c r="E46" s="249"/>
      <c r="F46" s="250"/>
      <c r="G46" s="44"/>
    </row>
    <row r="47" spans="1:6" s="11" customFormat="1" ht="39" customHeight="1">
      <c r="A47" s="287" t="s">
        <v>269</v>
      </c>
      <c r="B47" s="278" t="s">
        <v>460</v>
      </c>
      <c r="C47" s="279"/>
      <c r="D47" s="278" t="s">
        <v>461</v>
      </c>
      <c r="E47" s="279"/>
      <c r="F47" s="280" t="s">
        <v>439</v>
      </c>
    </row>
    <row r="48" spans="1:6" ht="24" customHeight="1">
      <c r="A48" s="287"/>
      <c r="B48" s="132" t="s">
        <v>438</v>
      </c>
      <c r="C48" s="133" t="s">
        <v>459</v>
      </c>
      <c r="D48" s="132" t="s">
        <v>438</v>
      </c>
      <c r="E48" s="133" t="s">
        <v>459</v>
      </c>
      <c r="F48" s="281"/>
    </row>
    <row r="49" spans="1:7" ht="18" customHeight="1">
      <c r="A49" s="127" t="s">
        <v>363</v>
      </c>
      <c r="B49" s="131">
        <v>1</v>
      </c>
      <c r="C49" s="146">
        <v>9.5</v>
      </c>
      <c r="D49" s="131">
        <v>0</v>
      </c>
      <c r="E49" s="146">
        <v>0</v>
      </c>
      <c r="F49" s="134">
        <f aca="true" t="shared" si="3" ref="F49:F54">B49+D49</f>
        <v>1</v>
      </c>
      <c r="G49" s="122"/>
    </row>
    <row r="50" spans="1:7" ht="18" customHeight="1">
      <c r="A50" s="127" t="s">
        <v>240</v>
      </c>
      <c r="B50" s="131">
        <v>1</v>
      </c>
      <c r="C50" s="146">
        <v>8</v>
      </c>
      <c r="D50" s="131">
        <v>0</v>
      </c>
      <c r="E50" s="146">
        <v>0</v>
      </c>
      <c r="F50" s="134">
        <f t="shared" si="3"/>
        <v>1</v>
      </c>
      <c r="G50" s="122"/>
    </row>
    <row r="51" spans="1:7" ht="18" customHeight="1">
      <c r="A51" s="127" t="s">
        <v>250</v>
      </c>
      <c r="B51" s="131">
        <v>0</v>
      </c>
      <c r="C51" s="146">
        <v>0</v>
      </c>
      <c r="D51" s="131">
        <v>2</v>
      </c>
      <c r="E51" s="146">
        <v>5.4</v>
      </c>
      <c r="F51" s="134">
        <f t="shared" si="3"/>
        <v>2</v>
      </c>
      <c r="G51" s="122"/>
    </row>
    <row r="52" spans="1:7" ht="18" customHeight="1">
      <c r="A52" s="127" t="s">
        <v>194</v>
      </c>
      <c r="B52" s="131">
        <v>3</v>
      </c>
      <c r="C52" s="146">
        <v>9</v>
      </c>
      <c r="D52" s="131">
        <v>0</v>
      </c>
      <c r="E52" s="146">
        <v>0</v>
      </c>
      <c r="F52" s="134">
        <f t="shared" si="3"/>
        <v>3</v>
      </c>
      <c r="G52" s="122"/>
    </row>
    <row r="53" spans="1:7" ht="18" customHeight="1">
      <c r="A53" s="127" t="s">
        <v>197</v>
      </c>
      <c r="B53" s="131">
        <v>1</v>
      </c>
      <c r="C53" s="146">
        <v>8.5</v>
      </c>
      <c r="D53" s="131">
        <v>0</v>
      </c>
      <c r="E53" s="146">
        <v>0</v>
      </c>
      <c r="F53" s="134">
        <f t="shared" si="3"/>
        <v>1</v>
      </c>
      <c r="G53" s="122"/>
    </row>
    <row r="54" spans="1:7" ht="28.5" customHeight="1">
      <c r="A54" s="30" t="s">
        <v>270</v>
      </c>
      <c r="B54" s="129">
        <f>SUM(B49:B53)</f>
        <v>6</v>
      </c>
      <c r="C54" s="147">
        <f>SUM(C49:C53)/4</f>
        <v>8.75</v>
      </c>
      <c r="D54" s="129">
        <f>SUM(D49:D53)</f>
        <v>2</v>
      </c>
      <c r="E54" s="147">
        <f>SUM(E49:E53)</f>
        <v>5.4</v>
      </c>
      <c r="F54" s="130">
        <f t="shared" si="3"/>
        <v>8</v>
      </c>
      <c r="G54" s="122"/>
    </row>
    <row r="56" spans="1:7" s="11" customFormat="1" ht="60.75" customHeight="1">
      <c r="A56" s="24" t="s">
        <v>462</v>
      </c>
      <c r="B56" s="248" t="s">
        <v>470</v>
      </c>
      <c r="C56" s="249"/>
      <c r="D56" s="249"/>
      <c r="E56" s="249"/>
      <c r="F56" s="250"/>
      <c r="G56" s="44"/>
    </row>
    <row r="57" spans="1:6" s="11" customFormat="1" ht="39" customHeight="1">
      <c r="A57" s="287" t="s">
        <v>269</v>
      </c>
      <c r="B57" s="278" t="s">
        <v>460</v>
      </c>
      <c r="C57" s="279"/>
      <c r="D57" s="278" t="s">
        <v>461</v>
      </c>
      <c r="E57" s="279"/>
      <c r="F57" s="280" t="s">
        <v>439</v>
      </c>
    </row>
    <row r="58" spans="1:6" ht="24" customHeight="1">
      <c r="A58" s="287"/>
      <c r="B58" s="132" t="s">
        <v>438</v>
      </c>
      <c r="C58" s="133" t="s">
        <v>459</v>
      </c>
      <c r="D58" s="132" t="s">
        <v>438</v>
      </c>
      <c r="E58" s="133" t="s">
        <v>459</v>
      </c>
      <c r="F58" s="281"/>
    </row>
    <row r="59" spans="1:7" ht="18" customHeight="1">
      <c r="A59" s="127" t="s">
        <v>203</v>
      </c>
      <c r="B59" s="131">
        <v>2</v>
      </c>
      <c r="C59" s="146">
        <v>10.5</v>
      </c>
      <c r="D59" s="131">
        <v>0</v>
      </c>
      <c r="E59" s="146">
        <v>0</v>
      </c>
      <c r="F59" s="134">
        <f>B59+D59</f>
        <v>2</v>
      </c>
      <c r="G59" s="122"/>
    </row>
    <row r="60" spans="1:7" ht="18" customHeight="1">
      <c r="A60" s="127" t="s">
        <v>205</v>
      </c>
      <c r="B60" s="131">
        <v>1</v>
      </c>
      <c r="C60" s="146">
        <v>8.5</v>
      </c>
      <c r="D60" s="131">
        <v>0</v>
      </c>
      <c r="E60" s="146">
        <v>0</v>
      </c>
      <c r="F60" s="134">
        <f aca="true" t="shared" si="4" ref="F60:F67">B60+D60</f>
        <v>1</v>
      </c>
      <c r="G60" s="122"/>
    </row>
    <row r="61" spans="1:7" ht="18" customHeight="1">
      <c r="A61" s="127" t="s">
        <v>208</v>
      </c>
      <c r="B61" s="131">
        <v>3</v>
      </c>
      <c r="C61" s="146">
        <v>8.5</v>
      </c>
      <c r="D61" s="131">
        <v>0</v>
      </c>
      <c r="E61" s="146">
        <v>0</v>
      </c>
      <c r="F61" s="134">
        <f t="shared" si="4"/>
        <v>3</v>
      </c>
      <c r="G61" s="122"/>
    </row>
    <row r="62" spans="1:7" ht="18" customHeight="1">
      <c r="A62" s="127" t="s">
        <v>209</v>
      </c>
      <c r="B62" s="131">
        <v>0</v>
      </c>
      <c r="C62" s="146">
        <v>0</v>
      </c>
      <c r="D62" s="131">
        <v>1</v>
      </c>
      <c r="E62" s="146">
        <v>7.5</v>
      </c>
      <c r="F62" s="134">
        <f t="shared" si="4"/>
        <v>1</v>
      </c>
      <c r="G62" s="122"/>
    </row>
    <row r="63" spans="1:7" ht="18" customHeight="1">
      <c r="A63" s="127" t="s">
        <v>211</v>
      </c>
      <c r="B63" s="131">
        <v>2</v>
      </c>
      <c r="C63" s="146">
        <v>8.5</v>
      </c>
      <c r="D63" s="131">
        <v>0</v>
      </c>
      <c r="E63" s="146">
        <v>0</v>
      </c>
      <c r="F63" s="134">
        <f t="shared" si="4"/>
        <v>2</v>
      </c>
      <c r="G63" s="122"/>
    </row>
    <row r="64" spans="1:7" ht="18" customHeight="1">
      <c r="A64" s="127" t="s">
        <v>251</v>
      </c>
      <c r="B64" s="131">
        <v>10</v>
      </c>
      <c r="C64" s="146">
        <v>10.5</v>
      </c>
      <c r="D64" s="131">
        <v>0</v>
      </c>
      <c r="E64" s="146">
        <v>0</v>
      </c>
      <c r="F64" s="134">
        <f t="shared" si="4"/>
        <v>10</v>
      </c>
      <c r="G64" s="122"/>
    </row>
    <row r="65" spans="1:7" ht="18" customHeight="1">
      <c r="A65" s="127" t="s">
        <v>213</v>
      </c>
      <c r="B65" s="131">
        <v>2</v>
      </c>
      <c r="C65" s="146">
        <v>8</v>
      </c>
      <c r="D65" s="131">
        <v>0</v>
      </c>
      <c r="E65" s="146">
        <v>0</v>
      </c>
      <c r="F65" s="134">
        <f t="shared" si="4"/>
        <v>2</v>
      </c>
      <c r="G65" s="122"/>
    </row>
    <row r="66" spans="1:7" ht="18" customHeight="1">
      <c r="A66" s="127" t="s">
        <v>215</v>
      </c>
      <c r="B66" s="131">
        <v>2</v>
      </c>
      <c r="C66" s="146">
        <v>8</v>
      </c>
      <c r="D66" s="131">
        <v>0</v>
      </c>
      <c r="E66" s="146">
        <v>0</v>
      </c>
      <c r="F66" s="134">
        <f t="shared" si="4"/>
        <v>2</v>
      </c>
      <c r="G66" s="122"/>
    </row>
    <row r="67" spans="1:7" ht="28.5" customHeight="1">
      <c r="A67" s="30" t="s">
        <v>271</v>
      </c>
      <c r="B67" s="129">
        <v>22</v>
      </c>
      <c r="C67" s="147">
        <f>SUM(C59:C66)/7</f>
        <v>8.928571428571429</v>
      </c>
      <c r="D67" s="129">
        <v>1</v>
      </c>
      <c r="E67" s="152">
        <v>7.5</v>
      </c>
      <c r="F67" s="130">
        <f t="shared" si="4"/>
        <v>23</v>
      </c>
      <c r="G67" s="122"/>
    </row>
    <row r="69" spans="1:7" s="11" customFormat="1" ht="60.75" customHeight="1">
      <c r="A69" s="24" t="s">
        <v>462</v>
      </c>
      <c r="B69" s="248" t="s">
        <v>479</v>
      </c>
      <c r="C69" s="249"/>
      <c r="D69" s="249"/>
      <c r="E69" s="249"/>
      <c r="F69" s="250"/>
      <c r="G69" s="44"/>
    </row>
    <row r="70" spans="1:6" s="11" customFormat="1" ht="39" customHeight="1">
      <c r="A70" s="287" t="s">
        <v>269</v>
      </c>
      <c r="B70" s="278" t="s">
        <v>460</v>
      </c>
      <c r="C70" s="279"/>
      <c r="D70" s="278" t="s">
        <v>461</v>
      </c>
      <c r="E70" s="279"/>
      <c r="F70" s="280" t="s">
        <v>439</v>
      </c>
    </row>
    <row r="71" spans="1:6" ht="24" customHeight="1">
      <c r="A71" s="287"/>
      <c r="B71" s="132" t="s">
        <v>438</v>
      </c>
      <c r="C71" s="133" t="s">
        <v>459</v>
      </c>
      <c r="D71" s="132" t="s">
        <v>438</v>
      </c>
      <c r="E71" s="133" t="s">
        <v>459</v>
      </c>
      <c r="F71" s="281"/>
    </row>
    <row r="72" spans="1:7" ht="18" customHeight="1">
      <c r="A72" s="127" t="s">
        <v>219</v>
      </c>
      <c r="B72" s="131">
        <v>1</v>
      </c>
      <c r="C72" s="146">
        <v>8</v>
      </c>
      <c r="D72" s="131">
        <v>0</v>
      </c>
      <c r="E72" s="146">
        <v>0</v>
      </c>
      <c r="F72" s="134">
        <f>B72+D72</f>
        <v>1</v>
      </c>
      <c r="G72" s="122"/>
    </row>
    <row r="73" spans="1:7" ht="18" customHeight="1">
      <c r="A73" s="127" t="s">
        <v>284</v>
      </c>
      <c r="B73" s="131">
        <v>1</v>
      </c>
      <c r="C73" s="146">
        <v>8.5</v>
      </c>
      <c r="D73" s="131">
        <v>2</v>
      </c>
      <c r="E73" s="146">
        <v>6</v>
      </c>
      <c r="F73" s="134">
        <f aca="true" t="shared" si="5" ref="F73:F79">B73+D73</f>
        <v>3</v>
      </c>
      <c r="G73" s="122"/>
    </row>
    <row r="74" spans="1:7" ht="18" customHeight="1">
      <c r="A74" s="127" t="s">
        <v>286</v>
      </c>
      <c r="B74" s="131">
        <v>1</v>
      </c>
      <c r="C74" s="146">
        <v>8</v>
      </c>
      <c r="D74" s="131">
        <v>0</v>
      </c>
      <c r="E74" s="146">
        <v>0</v>
      </c>
      <c r="F74" s="134">
        <f t="shared" si="5"/>
        <v>1</v>
      </c>
      <c r="G74" s="122"/>
    </row>
    <row r="75" spans="1:7" ht="18" customHeight="1">
      <c r="A75" s="127" t="s">
        <v>294</v>
      </c>
      <c r="B75" s="131">
        <v>34</v>
      </c>
      <c r="C75" s="146">
        <f>117.5/14</f>
        <v>8.392857142857142</v>
      </c>
      <c r="D75" s="131">
        <v>0</v>
      </c>
      <c r="E75" s="146">
        <v>0</v>
      </c>
      <c r="F75" s="134">
        <f t="shared" si="5"/>
        <v>34</v>
      </c>
      <c r="G75" s="122"/>
    </row>
    <row r="76" spans="1:7" ht="18" customHeight="1">
      <c r="A76" s="127" t="s">
        <v>296</v>
      </c>
      <c r="B76" s="131">
        <v>2</v>
      </c>
      <c r="C76" s="146">
        <v>9</v>
      </c>
      <c r="D76" s="131">
        <v>0</v>
      </c>
      <c r="E76" s="146">
        <v>0</v>
      </c>
      <c r="F76" s="134">
        <f t="shared" si="5"/>
        <v>2</v>
      </c>
      <c r="G76" s="122"/>
    </row>
    <row r="77" spans="1:7" ht="18" customHeight="1">
      <c r="A77" s="127" t="s">
        <v>297</v>
      </c>
      <c r="B77" s="131">
        <v>2</v>
      </c>
      <c r="C77" s="146">
        <v>8</v>
      </c>
      <c r="D77" s="131">
        <v>0</v>
      </c>
      <c r="E77" s="146">
        <v>0</v>
      </c>
      <c r="F77" s="134">
        <f t="shared" si="5"/>
        <v>2</v>
      </c>
      <c r="G77" s="122"/>
    </row>
    <row r="78" spans="1:7" ht="18" customHeight="1">
      <c r="A78" s="127" t="s">
        <v>298</v>
      </c>
      <c r="B78" s="131">
        <v>1</v>
      </c>
      <c r="C78" s="146">
        <v>8.5</v>
      </c>
      <c r="D78" s="131">
        <v>1</v>
      </c>
      <c r="E78" s="146">
        <v>6</v>
      </c>
      <c r="F78" s="134">
        <f t="shared" si="5"/>
        <v>2</v>
      </c>
      <c r="G78" s="122"/>
    </row>
    <row r="79" spans="1:7" ht="28.5" customHeight="1">
      <c r="A79" s="30" t="s">
        <v>223</v>
      </c>
      <c r="B79" s="129">
        <v>42</v>
      </c>
      <c r="C79" s="147">
        <f>SUM(C72:C78)/7</f>
        <v>8.341836734693876</v>
      </c>
      <c r="D79" s="129">
        <v>3</v>
      </c>
      <c r="E79" s="152">
        <f>SUM(E72:E78)/2</f>
        <v>6</v>
      </c>
      <c r="F79" s="130">
        <f t="shared" si="5"/>
        <v>45</v>
      </c>
      <c r="G79" s="122"/>
    </row>
    <row r="81" spans="1:7" s="11" customFormat="1" ht="60.75" customHeight="1">
      <c r="A81" s="24" t="s">
        <v>462</v>
      </c>
      <c r="B81" s="248" t="s">
        <v>480</v>
      </c>
      <c r="C81" s="249"/>
      <c r="D81" s="249"/>
      <c r="E81" s="249"/>
      <c r="F81" s="250"/>
      <c r="G81" s="44"/>
    </row>
    <row r="82" spans="1:6" s="11" customFormat="1" ht="25.5" customHeight="1">
      <c r="A82" s="287" t="s">
        <v>269</v>
      </c>
      <c r="B82" s="278" t="s">
        <v>460</v>
      </c>
      <c r="C82" s="279"/>
      <c r="D82" s="278" t="s">
        <v>461</v>
      </c>
      <c r="E82" s="279"/>
      <c r="F82" s="280" t="s">
        <v>439</v>
      </c>
    </row>
    <row r="83" spans="1:11" ht="24" customHeight="1">
      <c r="A83" s="287"/>
      <c r="B83" s="132" t="s">
        <v>438</v>
      </c>
      <c r="C83" s="133" t="s">
        <v>459</v>
      </c>
      <c r="D83" s="132" t="s">
        <v>438</v>
      </c>
      <c r="E83" s="133" t="s">
        <v>459</v>
      </c>
      <c r="F83" s="281"/>
      <c r="G83" s="11"/>
      <c r="I83" s="11"/>
      <c r="J83" s="11"/>
      <c r="K83" s="11"/>
    </row>
    <row r="84" spans="1:11" ht="18" customHeight="1">
      <c r="A84" s="127" t="s">
        <v>304</v>
      </c>
      <c r="B84" s="131">
        <v>1</v>
      </c>
      <c r="C84" s="146">
        <v>9</v>
      </c>
      <c r="D84" s="131">
        <v>0</v>
      </c>
      <c r="E84" s="146">
        <v>0</v>
      </c>
      <c r="F84" s="134">
        <f>B84+D84</f>
        <v>1</v>
      </c>
      <c r="G84" s="122"/>
      <c r="I84" s="11"/>
      <c r="J84" s="11"/>
      <c r="K84" s="11"/>
    </row>
    <row r="85" spans="1:11" ht="18" customHeight="1">
      <c r="A85" s="127" t="s">
        <v>315</v>
      </c>
      <c r="B85" s="131">
        <v>4</v>
      </c>
      <c r="C85" s="146">
        <v>8.25</v>
      </c>
      <c r="D85" s="131">
        <v>1</v>
      </c>
      <c r="E85" s="146">
        <v>5</v>
      </c>
      <c r="F85" s="134">
        <f aca="true" t="shared" si="6" ref="F85:F92">B85+D85</f>
        <v>5</v>
      </c>
      <c r="G85" s="122"/>
      <c r="I85" s="11"/>
      <c r="J85" s="11"/>
      <c r="K85" s="11"/>
    </row>
    <row r="86" spans="1:11" ht="18" customHeight="1">
      <c r="A86" s="127" t="s">
        <v>318</v>
      </c>
      <c r="B86" s="131">
        <v>3</v>
      </c>
      <c r="C86" s="146">
        <v>8.5</v>
      </c>
      <c r="D86" s="131">
        <v>1</v>
      </c>
      <c r="E86" s="146">
        <v>5</v>
      </c>
      <c r="F86" s="134">
        <f t="shared" si="6"/>
        <v>4</v>
      </c>
      <c r="G86" s="122"/>
      <c r="I86" s="11"/>
      <c r="J86" s="11"/>
      <c r="K86" s="11"/>
    </row>
    <row r="87" spans="1:11" ht="18" customHeight="1">
      <c r="A87" s="127" t="s">
        <v>321</v>
      </c>
      <c r="B87" s="131">
        <v>3</v>
      </c>
      <c r="C87" s="146">
        <v>8.5</v>
      </c>
      <c r="D87" s="131">
        <v>1</v>
      </c>
      <c r="E87" s="146">
        <v>5.5</v>
      </c>
      <c r="F87" s="134">
        <f t="shared" si="6"/>
        <v>4</v>
      </c>
      <c r="G87" s="122"/>
      <c r="I87" s="11"/>
      <c r="J87" s="11"/>
      <c r="K87" s="11"/>
    </row>
    <row r="88" spans="1:11" ht="18" customHeight="1">
      <c r="A88" s="127" t="s">
        <v>253</v>
      </c>
      <c r="B88" s="131">
        <v>25</v>
      </c>
      <c r="C88" s="146">
        <v>8.16</v>
      </c>
      <c r="D88" s="131">
        <v>3</v>
      </c>
      <c r="E88" s="146">
        <v>4.833333333333333</v>
      </c>
      <c r="F88" s="134">
        <f t="shared" si="6"/>
        <v>28</v>
      </c>
      <c r="G88" s="122"/>
      <c r="I88" s="11"/>
      <c r="J88" s="11"/>
      <c r="K88" s="11"/>
    </row>
    <row r="89" spans="1:11" ht="18" customHeight="1">
      <c r="A89" s="127" t="s">
        <v>322</v>
      </c>
      <c r="B89" s="131">
        <v>1</v>
      </c>
      <c r="C89" s="146">
        <v>8.5</v>
      </c>
      <c r="D89" s="131">
        <v>0</v>
      </c>
      <c r="E89" s="146">
        <v>0</v>
      </c>
      <c r="F89" s="134">
        <f t="shared" si="6"/>
        <v>1</v>
      </c>
      <c r="G89" s="122"/>
      <c r="I89" s="11"/>
      <c r="J89" s="11"/>
      <c r="K89" s="11"/>
    </row>
    <row r="90" spans="1:11" ht="18" customHeight="1">
      <c r="A90" s="127" t="s">
        <v>324</v>
      </c>
      <c r="B90" s="131">
        <v>1</v>
      </c>
      <c r="C90" s="146">
        <v>8</v>
      </c>
      <c r="D90" s="131">
        <v>1</v>
      </c>
      <c r="E90" s="146">
        <v>5</v>
      </c>
      <c r="F90" s="134">
        <f t="shared" si="6"/>
        <v>2</v>
      </c>
      <c r="G90" s="122"/>
      <c r="I90" s="11"/>
      <c r="J90" s="11"/>
      <c r="K90" s="11"/>
    </row>
    <row r="91" spans="1:11" ht="18" customHeight="1">
      <c r="A91" s="127" t="s">
        <v>332</v>
      </c>
      <c r="B91" s="131">
        <v>4</v>
      </c>
      <c r="C91" s="146">
        <v>7</v>
      </c>
      <c r="D91" s="131">
        <v>0</v>
      </c>
      <c r="E91" s="146">
        <v>0</v>
      </c>
      <c r="F91" s="134">
        <f t="shared" si="6"/>
        <v>4</v>
      </c>
      <c r="G91" s="122"/>
      <c r="I91" s="11"/>
      <c r="J91" s="11"/>
      <c r="K91" s="11"/>
    </row>
    <row r="92" spans="1:11" ht="28.5" customHeight="1">
      <c r="A92" s="30" t="s">
        <v>224</v>
      </c>
      <c r="B92" s="129">
        <f>SUM(B84:B91)</f>
        <v>42</v>
      </c>
      <c r="C92" s="147">
        <f>SUM(C84:C91)/8</f>
        <v>8.23875</v>
      </c>
      <c r="D92" s="129">
        <f>SUM(D84:D91)</f>
        <v>7</v>
      </c>
      <c r="E92" s="147">
        <f>SUM(E84:E91)/5</f>
        <v>5.066666666666666</v>
      </c>
      <c r="F92" s="130">
        <f t="shared" si="6"/>
        <v>49</v>
      </c>
      <c r="G92" s="122"/>
      <c r="I92" s="11"/>
      <c r="J92" s="11"/>
      <c r="K92" s="11"/>
    </row>
    <row r="93" spans="3:11" ht="12.75">
      <c r="C93" s="125"/>
      <c r="E93" s="125"/>
      <c r="G93" s="11"/>
      <c r="I93" s="11"/>
      <c r="J93" s="11"/>
      <c r="K93" s="11"/>
    </row>
    <row r="94" spans="1:11" ht="12.75">
      <c r="A94" s="219" t="s">
        <v>88</v>
      </c>
      <c r="I94" s="11"/>
      <c r="J94" s="11"/>
      <c r="K94" s="11"/>
    </row>
    <row r="95" spans="9:11" ht="12.75">
      <c r="I95" s="11"/>
      <c r="J95" s="11"/>
      <c r="K95" s="11"/>
    </row>
    <row r="96" spans="1:7" s="11" customFormat="1" ht="60.75" customHeight="1">
      <c r="A96" s="24" t="s">
        <v>462</v>
      </c>
      <c r="B96" s="248" t="s">
        <v>482</v>
      </c>
      <c r="C96" s="249"/>
      <c r="D96" s="249"/>
      <c r="E96" s="249"/>
      <c r="F96" s="250"/>
      <c r="G96" s="44"/>
    </row>
    <row r="97" spans="1:6" s="11" customFormat="1" ht="25.5" customHeight="1">
      <c r="A97" s="287" t="s">
        <v>269</v>
      </c>
      <c r="B97" s="278" t="s">
        <v>460</v>
      </c>
      <c r="C97" s="279"/>
      <c r="D97" s="278" t="s">
        <v>461</v>
      </c>
      <c r="E97" s="279"/>
      <c r="F97" s="280" t="s">
        <v>439</v>
      </c>
    </row>
    <row r="98" spans="1:7" ht="24" customHeight="1">
      <c r="A98" s="287"/>
      <c r="B98" s="132" t="s">
        <v>438</v>
      </c>
      <c r="C98" s="133" t="s">
        <v>459</v>
      </c>
      <c r="D98" s="132" t="s">
        <v>438</v>
      </c>
      <c r="E98" s="133" t="s">
        <v>459</v>
      </c>
      <c r="F98" s="281"/>
      <c r="G98" s="11"/>
    </row>
    <row r="99" spans="1:7" ht="18" customHeight="1">
      <c r="A99" s="127" t="s">
        <v>130</v>
      </c>
      <c r="B99" s="131">
        <v>4</v>
      </c>
      <c r="C99" s="146">
        <v>9.833333333333332</v>
      </c>
      <c r="D99" s="131">
        <v>0</v>
      </c>
      <c r="E99" s="146">
        <v>0</v>
      </c>
      <c r="F99" s="134">
        <f>B99+D99</f>
        <v>4</v>
      </c>
      <c r="G99" s="122"/>
    </row>
    <row r="100" spans="1:7" ht="18" customHeight="1">
      <c r="A100" s="127" t="s">
        <v>254</v>
      </c>
      <c r="B100" s="131">
        <v>11</v>
      </c>
      <c r="C100" s="146">
        <v>11</v>
      </c>
      <c r="D100" s="131">
        <v>0</v>
      </c>
      <c r="E100" s="146">
        <v>0</v>
      </c>
      <c r="F100" s="134">
        <f aca="true" t="shared" si="7" ref="F100:F113">B100+D100</f>
        <v>11</v>
      </c>
      <c r="G100" s="122"/>
    </row>
    <row r="101" spans="1:7" ht="18" customHeight="1">
      <c r="A101" s="127" t="s">
        <v>124</v>
      </c>
      <c r="B101" s="131">
        <v>2</v>
      </c>
      <c r="C101" s="146">
        <v>9</v>
      </c>
      <c r="D101" s="131">
        <v>0</v>
      </c>
      <c r="E101" s="146">
        <v>0</v>
      </c>
      <c r="F101" s="134">
        <f t="shared" si="7"/>
        <v>2</v>
      </c>
      <c r="G101" s="122"/>
    </row>
    <row r="102" spans="1:7" ht="18" customHeight="1">
      <c r="A102" s="127" t="s">
        <v>123</v>
      </c>
      <c r="B102" s="131">
        <v>2</v>
      </c>
      <c r="C102" s="146">
        <v>9</v>
      </c>
      <c r="D102" s="131">
        <v>1</v>
      </c>
      <c r="E102" s="146">
        <v>7</v>
      </c>
      <c r="F102" s="134">
        <f t="shared" si="7"/>
        <v>3</v>
      </c>
      <c r="G102" s="122"/>
    </row>
    <row r="103" spans="1:7" ht="18" customHeight="1">
      <c r="A103" s="127" t="s">
        <v>135</v>
      </c>
      <c r="B103" s="131">
        <v>1</v>
      </c>
      <c r="C103" s="146">
        <v>9</v>
      </c>
      <c r="D103" s="131">
        <v>0</v>
      </c>
      <c r="E103" s="146">
        <v>0</v>
      </c>
      <c r="F103" s="134">
        <f t="shared" si="7"/>
        <v>1</v>
      </c>
      <c r="G103" s="122"/>
    </row>
    <row r="104" spans="1:7" ht="18" customHeight="1">
      <c r="A104" s="127" t="s">
        <v>134</v>
      </c>
      <c r="B104" s="131">
        <v>0</v>
      </c>
      <c r="C104" s="146">
        <v>0</v>
      </c>
      <c r="D104" s="131">
        <v>1</v>
      </c>
      <c r="E104" s="146">
        <v>6</v>
      </c>
      <c r="F104" s="134">
        <f t="shared" si="7"/>
        <v>1</v>
      </c>
      <c r="G104" s="122"/>
    </row>
    <row r="105" spans="1:7" ht="18" customHeight="1">
      <c r="A105" s="127" t="s">
        <v>117</v>
      </c>
      <c r="B105" s="131">
        <v>2</v>
      </c>
      <c r="C105" s="146">
        <v>8</v>
      </c>
      <c r="D105" s="131">
        <v>0</v>
      </c>
      <c r="E105" s="146">
        <v>0</v>
      </c>
      <c r="F105" s="134">
        <f t="shared" si="7"/>
        <v>2</v>
      </c>
      <c r="G105" s="122"/>
    </row>
    <row r="106" spans="1:7" ht="18" customHeight="1">
      <c r="A106" s="127" t="s">
        <v>355</v>
      </c>
      <c r="B106" s="131">
        <v>0</v>
      </c>
      <c r="C106" s="146">
        <v>0</v>
      </c>
      <c r="D106" s="131">
        <v>1</v>
      </c>
      <c r="E106" s="146">
        <v>6.5</v>
      </c>
      <c r="F106" s="134">
        <f t="shared" si="7"/>
        <v>1</v>
      </c>
      <c r="G106" s="122"/>
    </row>
    <row r="107" spans="1:7" ht="18" customHeight="1">
      <c r="A107" s="127" t="s">
        <v>133</v>
      </c>
      <c r="B107" s="131">
        <v>2</v>
      </c>
      <c r="C107" s="146">
        <v>9</v>
      </c>
      <c r="D107" s="131">
        <v>1</v>
      </c>
      <c r="E107" s="146">
        <v>6</v>
      </c>
      <c r="F107" s="134">
        <f t="shared" si="7"/>
        <v>3</v>
      </c>
      <c r="G107" s="122"/>
    </row>
    <row r="108" spans="1:7" ht="18" customHeight="1">
      <c r="A108" s="127" t="s">
        <v>132</v>
      </c>
      <c r="B108" s="131">
        <v>5</v>
      </c>
      <c r="C108" s="146">
        <v>10</v>
      </c>
      <c r="D108" s="131">
        <v>0</v>
      </c>
      <c r="E108" s="146">
        <v>0</v>
      </c>
      <c r="F108" s="134">
        <f t="shared" si="7"/>
        <v>5</v>
      </c>
      <c r="G108" s="122"/>
    </row>
    <row r="109" spans="1:7" ht="18" customHeight="1">
      <c r="A109" s="127" t="s">
        <v>131</v>
      </c>
      <c r="B109" s="131">
        <v>2</v>
      </c>
      <c r="C109" s="146">
        <v>9</v>
      </c>
      <c r="D109" s="131">
        <v>0</v>
      </c>
      <c r="E109" s="146">
        <v>0</v>
      </c>
      <c r="F109" s="134">
        <f t="shared" si="7"/>
        <v>2</v>
      </c>
      <c r="G109" s="122"/>
    </row>
    <row r="110" spans="1:7" ht="18" customHeight="1">
      <c r="A110" s="127" t="s">
        <v>105</v>
      </c>
      <c r="B110" s="131">
        <v>6</v>
      </c>
      <c r="C110" s="146">
        <v>9.333333333333334</v>
      </c>
      <c r="D110" s="131">
        <v>1</v>
      </c>
      <c r="E110" s="146">
        <v>6</v>
      </c>
      <c r="F110" s="134">
        <f t="shared" si="7"/>
        <v>7</v>
      </c>
      <c r="G110" s="122"/>
    </row>
    <row r="111" spans="1:7" ht="18" customHeight="1">
      <c r="A111" s="127" t="s">
        <v>104</v>
      </c>
      <c r="B111" s="131">
        <v>4</v>
      </c>
      <c r="C111" s="146">
        <v>10</v>
      </c>
      <c r="D111" s="131">
        <v>1</v>
      </c>
      <c r="E111" s="146">
        <v>6.5</v>
      </c>
      <c r="F111" s="134">
        <f t="shared" si="7"/>
        <v>5</v>
      </c>
      <c r="G111" s="122"/>
    </row>
    <row r="112" spans="1:7" ht="18" customHeight="1">
      <c r="A112" s="127" t="s">
        <v>96</v>
      </c>
      <c r="B112" s="131">
        <v>2</v>
      </c>
      <c r="C112" s="146">
        <v>9</v>
      </c>
      <c r="D112" s="131">
        <v>0</v>
      </c>
      <c r="E112" s="146">
        <v>0</v>
      </c>
      <c r="F112" s="134">
        <f t="shared" si="7"/>
        <v>2</v>
      </c>
      <c r="G112" s="122"/>
    </row>
    <row r="113" spans="1:7" ht="28.5" customHeight="1">
      <c r="A113" s="30" t="s">
        <v>225</v>
      </c>
      <c r="B113" s="129">
        <v>43</v>
      </c>
      <c r="C113" s="147">
        <f>SUM(C99:C112)/12</f>
        <v>9.347222222222221</v>
      </c>
      <c r="D113" s="129">
        <v>6</v>
      </c>
      <c r="E113" s="147">
        <f>SUM(E99:E112)/6</f>
        <v>6.333333333333333</v>
      </c>
      <c r="F113" s="130">
        <f t="shared" si="7"/>
        <v>49</v>
      </c>
      <c r="G113" s="122"/>
    </row>
    <row r="116" spans="1:7" s="11" customFormat="1" ht="60.75" customHeight="1">
      <c r="A116" s="24" t="s">
        <v>462</v>
      </c>
      <c r="B116" s="248" t="s">
        <v>486</v>
      </c>
      <c r="C116" s="249"/>
      <c r="D116" s="249"/>
      <c r="E116" s="249"/>
      <c r="F116" s="250"/>
      <c r="G116" s="44"/>
    </row>
    <row r="117" spans="1:6" s="11" customFormat="1" ht="25.5" customHeight="1">
      <c r="A117" s="287" t="s">
        <v>269</v>
      </c>
      <c r="B117" s="278" t="s">
        <v>460</v>
      </c>
      <c r="C117" s="279"/>
      <c r="D117" s="278" t="s">
        <v>461</v>
      </c>
      <c r="E117" s="279"/>
      <c r="F117" s="280" t="s">
        <v>439</v>
      </c>
    </row>
    <row r="118" spans="1:7" ht="24" customHeight="1">
      <c r="A118" s="287"/>
      <c r="B118" s="132" t="s">
        <v>438</v>
      </c>
      <c r="C118" s="133" t="s">
        <v>459</v>
      </c>
      <c r="D118" s="132" t="s">
        <v>438</v>
      </c>
      <c r="E118" s="133" t="s">
        <v>459</v>
      </c>
      <c r="F118" s="281"/>
      <c r="G118" s="11"/>
    </row>
    <row r="119" spans="1:7" ht="18" customHeight="1">
      <c r="A119" s="127" t="s">
        <v>159</v>
      </c>
      <c r="B119" s="131">
        <v>1</v>
      </c>
      <c r="C119" s="146">
        <v>10.25</v>
      </c>
      <c r="D119" s="131">
        <v>0</v>
      </c>
      <c r="E119" s="146">
        <v>0</v>
      </c>
      <c r="F119" s="134">
        <f>B119+D119</f>
        <v>1</v>
      </c>
      <c r="G119" s="122"/>
    </row>
    <row r="120" spans="1:7" ht="18" customHeight="1">
      <c r="A120" s="127" t="s">
        <v>227</v>
      </c>
      <c r="B120" s="131">
        <v>3</v>
      </c>
      <c r="C120" s="146">
        <v>9.5</v>
      </c>
      <c r="D120" s="131">
        <v>0</v>
      </c>
      <c r="E120" s="146">
        <v>0</v>
      </c>
      <c r="F120" s="134">
        <f>B120+D120</f>
        <v>3</v>
      </c>
      <c r="G120" s="122"/>
    </row>
    <row r="121" spans="1:7" ht="18" customHeight="1">
      <c r="A121" s="127" t="s">
        <v>228</v>
      </c>
      <c r="B121" s="131">
        <v>1</v>
      </c>
      <c r="C121" s="146">
        <v>8.5</v>
      </c>
      <c r="D121" s="131">
        <v>0</v>
      </c>
      <c r="E121" s="146">
        <v>0</v>
      </c>
      <c r="F121" s="134">
        <f>B121+D121</f>
        <v>1</v>
      </c>
      <c r="G121" s="122"/>
    </row>
    <row r="122" spans="1:7" ht="18" customHeight="1">
      <c r="A122" s="127" t="s">
        <v>229</v>
      </c>
      <c r="B122" s="131">
        <v>3</v>
      </c>
      <c r="C122" s="146">
        <v>9</v>
      </c>
      <c r="D122" s="131">
        <v>0</v>
      </c>
      <c r="E122" s="146">
        <v>0</v>
      </c>
      <c r="F122" s="134">
        <f>B122+D122</f>
        <v>3</v>
      </c>
      <c r="G122" s="122"/>
    </row>
    <row r="123" spans="1:7" ht="28.5" customHeight="1">
      <c r="A123" s="30" t="s">
        <v>226</v>
      </c>
      <c r="B123" s="129">
        <f>SUM(B119:B122)</f>
        <v>8</v>
      </c>
      <c r="C123" s="147">
        <f>SUM(C119:C122)/4</f>
        <v>9.3125</v>
      </c>
      <c r="D123" s="129">
        <f>SUM(D119:D122)</f>
        <v>0</v>
      </c>
      <c r="E123" s="147">
        <f>SUM(E119:E122)</f>
        <v>0</v>
      </c>
      <c r="F123" s="130">
        <f>B123+D123</f>
        <v>8</v>
      </c>
      <c r="G123" s="122"/>
    </row>
    <row r="126" spans="1:7" s="11" customFormat="1" ht="60.75" customHeight="1">
      <c r="A126" s="24" t="s">
        <v>462</v>
      </c>
      <c r="B126" s="248" t="s">
        <v>489</v>
      </c>
      <c r="C126" s="249"/>
      <c r="D126" s="249"/>
      <c r="E126" s="249"/>
      <c r="F126" s="250"/>
      <c r="G126" s="44"/>
    </row>
    <row r="127" spans="1:6" s="11" customFormat="1" ht="25.5" customHeight="1">
      <c r="A127" s="276" t="s">
        <v>269</v>
      </c>
      <c r="B127" s="278" t="s">
        <v>460</v>
      </c>
      <c r="C127" s="279"/>
      <c r="D127" s="278" t="s">
        <v>461</v>
      </c>
      <c r="E127" s="279"/>
      <c r="F127" s="280" t="s">
        <v>439</v>
      </c>
    </row>
    <row r="128" spans="1:7" ht="24" customHeight="1">
      <c r="A128" s="277"/>
      <c r="B128" s="132" t="s">
        <v>438</v>
      </c>
      <c r="C128" s="133" t="s">
        <v>459</v>
      </c>
      <c r="D128" s="132" t="s">
        <v>438</v>
      </c>
      <c r="E128" s="133" t="s">
        <v>459</v>
      </c>
      <c r="F128" s="281"/>
      <c r="G128" s="11"/>
    </row>
    <row r="129" spans="1:7" ht="18" customHeight="1">
      <c r="A129" s="165" t="s">
        <v>140</v>
      </c>
      <c r="B129" s="131">
        <v>3</v>
      </c>
      <c r="C129" s="146">
        <v>10</v>
      </c>
      <c r="D129" s="131">
        <v>0</v>
      </c>
      <c r="E129" s="146">
        <v>0</v>
      </c>
      <c r="F129" s="134">
        <f aca="true" t="shared" si="8" ref="F129:F135">B129+D129</f>
        <v>3</v>
      </c>
      <c r="G129" s="122"/>
    </row>
    <row r="130" spans="1:7" ht="18" customHeight="1">
      <c r="A130" s="127" t="s">
        <v>139</v>
      </c>
      <c r="B130" s="131">
        <v>7</v>
      </c>
      <c r="C130" s="146">
        <v>8</v>
      </c>
      <c r="D130" s="131">
        <v>0</v>
      </c>
      <c r="E130" s="146">
        <v>0</v>
      </c>
      <c r="F130" s="134">
        <f t="shared" si="8"/>
        <v>7</v>
      </c>
      <c r="G130" s="122"/>
    </row>
    <row r="131" spans="1:7" ht="18" customHeight="1">
      <c r="A131" s="127" t="s">
        <v>233</v>
      </c>
      <c r="B131" s="131">
        <v>6</v>
      </c>
      <c r="C131" s="146">
        <v>9.5</v>
      </c>
      <c r="D131" s="131">
        <v>0</v>
      </c>
      <c r="E131" s="146">
        <v>0</v>
      </c>
      <c r="F131" s="134">
        <f t="shared" si="8"/>
        <v>6</v>
      </c>
      <c r="G131" s="122"/>
    </row>
    <row r="132" spans="1:7" ht="18" customHeight="1">
      <c r="A132" s="127" t="s">
        <v>256</v>
      </c>
      <c r="B132" s="131">
        <v>12</v>
      </c>
      <c r="C132" s="146">
        <v>9.5</v>
      </c>
      <c r="D132" s="131">
        <v>1</v>
      </c>
      <c r="E132" s="146">
        <v>6.5</v>
      </c>
      <c r="F132" s="134">
        <f t="shared" si="8"/>
        <v>13</v>
      </c>
      <c r="G132" s="122"/>
    </row>
    <row r="133" spans="1:7" ht="18" customHeight="1">
      <c r="A133" s="127" t="s">
        <v>138</v>
      </c>
      <c r="B133" s="131">
        <v>2</v>
      </c>
      <c r="C133" s="146">
        <v>9</v>
      </c>
      <c r="D133" s="131">
        <v>0</v>
      </c>
      <c r="E133" s="146">
        <v>0</v>
      </c>
      <c r="F133" s="134">
        <f t="shared" si="8"/>
        <v>2</v>
      </c>
      <c r="G133" s="122"/>
    </row>
    <row r="134" spans="1:7" ht="18" customHeight="1">
      <c r="A134" s="127" t="s">
        <v>238</v>
      </c>
      <c r="B134" s="170">
        <v>3</v>
      </c>
      <c r="C134" s="220">
        <v>10</v>
      </c>
      <c r="D134" s="170">
        <v>0</v>
      </c>
      <c r="E134" s="220">
        <v>0</v>
      </c>
      <c r="F134" s="222">
        <f t="shared" si="8"/>
        <v>3</v>
      </c>
      <c r="G134" s="122"/>
    </row>
    <row r="135" spans="1:7" ht="28.5" customHeight="1">
      <c r="A135" s="30" t="s">
        <v>182</v>
      </c>
      <c r="B135" s="172">
        <f>SUM(B129:B134)</f>
        <v>33</v>
      </c>
      <c r="C135" s="221">
        <f>SUM(C129:C134)/6</f>
        <v>9.333333333333334</v>
      </c>
      <c r="D135" s="172">
        <v>1</v>
      </c>
      <c r="E135" s="221">
        <v>6.5</v>
      </c>
      <c r="F135" s="173">
        <f t="shared" si="8"/>
        <v>34</v>
      </c>
      <c r="G135" s="122"/>
    </row>
    <row r="136" ht="12.75">
      <c r="A136" s="50"/>
    </row>
    <row r="137" ht="12.75">
      <c r="A137" s="38" t="s">
        <v>141</v>
      </c>
    </row>
    <row r="139" spans="1:7" s="11" customFormat="1" ht="60.75" customHeight="1">
      <c r="A139" s="24" t="s">
        <v>462</v>
      </c>
      <c r="B139" s="248" t="s">
        <v>490</v>
      </c>
      <c r="C139" s="249"/>
      <c r="D139" s="249"/>
      <c r="E139" s="249"/>
      <c r="F139" s="250"/>
      <c r="G139" s="44"/>
    </row>
    <row r="140" spans="1:6" s="11" customFormat="1" ht="25.5" customHeight="1">
      <c r="A140" s="276" t="s">
        <v>269</v>
      </c>
      <c r="B140" s="278" t="s">
        <v>460</v>
      </c>
      <c r="C140" s="279"/>
      <c r="D140" s="278" t="s">
        <v>461</v>
      </c>
      <c r="E140" s="279"/>
      <c r="F140" s="280" t="s">
        <v>439</v>
      </c>
    </row>
    <row r="141" spans="1:7" ht="24" customHeight="1">
      <c r="A141" s="277"/>
      <c r="B141" s="132" t="s">
        <v>438</v>
      </c>
      <c r="C141" s="133" t="s">
        <v>459</v>
      </c>
      <c r="D141" s="132" t="s">
        <v>438</v>
      </c>
      <c r="E141" s="133" t="s">
        <v>459</v>
      </c>
      <c r="F141" s="281"/>
      <c r="G141" s="11"/>
    </row>
    <row r="142" spans="1:7" ht="18" customHeight="1">
      <c r="A142" s="165" t="s">
        <v>174</v>
      </c>
      <c r="B142" s="131">
        <v>1</v>
      </c>
      <c r="C142" s="146">
        <v>8.5</v>
      </c>
      <c r="D142" s="131">
        <v>0</v>
      </c>
      <c r="E142" s="146">
        <v>0</v>
      </c>
      <c r="F142" s="134">
        <f aca="true" t="shared" si="9" ref="F142:F151">B142+D142</f>
        <v>1</v>
      </c>
      <c r="G142" s="122"/>
    </row>
    <row r="143" spans="1:7" ht="18" customHeight="1">
      <c r="A143" s="127" t="s">
        <v>152</v>
      </c>
      <c r="B143" s="131">
        <v>3</v>
      </c>
      <c r="C143" s="146">
        <v>9</v>
      </c>
      <c r="D143" s="131">
        <v>0</v>
      </c>
      <c r="E143" s="146">
        <v>0</v>
      </c>
      <c r="F143" s="134">
        <f t="shared" si="9"/>
        <v>3</v>
      </c>
      <c r="G143" s="122"/>
    </row>
    <row r="144" spans="1:7" ht="18" customHeight="1">
      <c r="A144" s="127" t="s">
        <v>150</v>
      </c>
      <c r="B144" s="131">
        <v>3</v>
      </c>
      <c r="C144" s="146">
        <v>8</v>
      </c>
      <c r="D144" s="131">
        <v>0</v>
      </c>
      <c r="E144" s="146">
        <v>0</v>
      </c>
      <c r="F144" s="134">
        <f t="shared" si="9"/>
        <v>3</v>
      </c>
      <c r="G144" s="122"/>
    </row>
    <row r="145" spans="1:7" ht="18" customHeight="1">
      <c r="A145" s="127" t="s">
        <v>149</v>
      </c>
      <c r="B145" s="131">
        <v>0</v>
      </c>
      <c r="C145" s="146">
        <v>0</v>
      </c>
      <c r="D145" s="131">
        <v>1</v>
      </c>
      <c r="E145" s="146">
        <v>6</v>
      </c>
      <c r="F145" s="134">
        <f t="shared" si="9"/>
        <v>1</v>
      </c>
      <c r="G145" s="122"/>
    </row>
    <row r="146" spans="1:7" ht="18" customHeight="1">
      <c r="A146" s="127" t="s">
        <v>173</v>
      </c>
      <c r="B146" s="131">
        <v>2</v>
      </c>
      <c r="C146" s="146">
        <v>8</v>
      </c>
      <c r="D146" s="131">
        <v>0</v>
      </c>
      <c r="E146" s="146">
        <v>0</v>
      </c>
      <c r="F146" s="134">
        <f t="shared" si="9"/>
        <v>2</v>
      </c>
      <c r="G146" s="122"/>
    </row>
    <row r="147" spans="1:7" ht="18" customHeight="1">
      <c r="A147" s="127" t="s">
        <v>178</v>
      </c>
      <c r="B147" s="131">
        <v>1</v>
      </c>
      <c r="C147" s="146">
        <v>8</v>
      </c>
      <c r="D147" s="131">
        <v>0</v>
      </c>
      <c r="E147" s="146">
        <v>0</v>
      </c>
      <c r="F147" s="134">
        <f t="shared" si="9"/>
        <v>1</v>
      </c>
      <c r="G147" s="122"/>
    </row>
    <row r="148" spans="1:7" ht="18" customHeight="1">
      <c r="A148" s="127" t="s">
        <v>172</v>
      </c>
      <c r="B148" s="131">
        <v>2</v>
      </c>
      <c r="C148" s="146">
        <v>10</v>
      </c>
      <c r="D148" s="131">
        <v>0</v>
      </c>
      <c r="E148" s="146">
        <v>0</v>
      </c>
      <c r="F148" s="134">
        <f t="shared" si="9"/>
        <v>2</v>
      </c>
      <c r="G148" s="122"/>
    </row>
    <row r="149" spans="1:7" ht="18" customHeight="1">
      <c r="A149" s="127" t="s">
        <v>171</v>
      </c>
      <c r="B149" s="131">
        <v>0</v>
      </c>
      <c r="C149" s="146">
        <v>0</v>
      </c>
      <c r="D149" s="131">
        <v>1</v>
      </c>
      <c r="E149" s="146">
        <v>7.75</v>
      </c>
      <c r="F149" s="134">
        <f t="shared" si="9"/>
        <v>1</v>
      </c>
      <c r="G149" s="122"/>
    </row>
    <row r="150" spans="1:7" ht="18" customHeight="1">
      <c r="A150" s="127" t="s">
        <v>170</v>
      </c>
      <c r="B150" s="131">
        <v>1</v>
      </c>
      <c r="C150" s="146">
        <v>8.5</v>
      </c>
      <c r="D150" s="131">
        <v>0</v>
      </c>
      <c r="E150" s="146">
        <v>0</v>
      </c>
      <c r="F150" s="134">
        <f t="shared" si="9"/>
        <v>1</v>
      </c>
      <c r="G150" s="122"/>
    </row>
    <row r="151" spans="1:7" ht="28.5" customHeight="1">
      <c r="A151" s="30" t="s">
        <v>183</v>
      </c>
      <c r="B151" s="172">
        <f>SUM(B142:B150)</f>
        <v>13</v>
      </c>
      <c r="C151" s="221">
        <f>SUM(C142:C150)/7</f>
        <v>8.571428571428571</v>
      </c>
      <c r="D151" s="172">
        <f>SUM(D142:D150)</f>
        <v>2</v>
      </c>
      <c r="E151" s="221">
        <f>SUM(E142:E150)/2</f>
        <v>6.875</v>
      </c>
      <c r="F151" s="173">
        <f t="shared" si="9"/>
        <v>15</v>
      </c>
      <c r="G151" s="122"/>
    </row>
    <row r="152" spans="2:5" ht="12.75">
      <c r="B152" s="156"/>
      <c r="C152" s="156"/>
      <c r="D152" s="156"/>
      <c r="E152" s="156"/>
    </row>
    <row r="153" spans="2:5" ht="12.75">
      <c r="B153" s="156"/>
      <c r="C153" s="156"/>
      <c r="D153" s="156"/>
      <c r="E153" s="156"/>
    </row>
    <row r="156" spans="1:7" s="11" customFormat="1" ht="60.75" customHeight="1">
      <c r="A156" s="24" t="s">
        <v>462</v>
      </c>
      <c r="B156" s="248" t="s">
        <v>10</v>
      </c>
      <c r="C156" s="249"/>
      <c r="D156" s="249"/>
      <c r="E156" s="249"/>
      <c r="F156" s="250"/>
      <c r="G156" s="44"/>
    </row>
    <row r="157" spans="1:6" s="11" customFormat="1" ht="25.5" customHeight="1">
      <c r="A157" s="276" t="s">
        <v>269</v>
      </c>
      <c r="B157" s="278" t="s">
        <v>460</v>
      </c>
      <c r="C157" s="279"/>
      <c r="D157" s="278" t="s">
        <v>461</v>
      </c>
      <c r="E157" s="279"/>
      <c r="F157" s="280" t="s">
        <v>439</v>
      </c>
    </row>
    <row r="158" spans="1:7" ht="24" customHeight="1">
      <c r="A158" s="277"/>
      <c r="B158" s="132" t="s">
        <v>438</v>
      </c>
      <c r="C158" s="133" t="s">
        <v>459</v>
      </c>
      <c r="D158" s="132" t="s">
        <v>438</v>
      </c>
      <c r="E158" s="133" t="s">
        <v>459</v>
      </c>
      <c r="F158" s="281"/>
      <c r="G158" s="11"/>
    </row>
    <row r="159" spans="1:7" ht="18" customHeight="1">
      <c r="A159" s="127" t="s">
        <v>344</v>
      </c>
      <c r="B159" s="131">
        <v>0</v>
      </c>
      <c r="C159" s="146">
        <v>0</v>
      </c>
      <c r="D159" s="131">
        <v>1</v>
      </c>
      <c r="E159" s="146">
        <v>5</v>
      </c>
      <c r="F159" s="134">
        <f>B159+D159</f>
        <v>1</v>
      </c>
      <c r="G159" s="122"/>
    </row>
    <row r="160" spans="1:7" ht="18" customHeight="1">
      <c r="A160" s="127" t="s">
        <v>347</v>
      </c>
      <c r="B160" s="131">
        <v>0</v>
      </c>
      <c r="C160" s="146">
        <v>0</v>
      </c>
      <c r="D160" s="131">
        <v>2</v>
      </c>
      <c r="E160" s="146">
        <v>6</v>
      </c>
      <c r="F160" s="134">
        <f>B160+D160</f>
        <v>2</v>
      </c>
      <c r="G160" s="122"/>
    </row>
    <row r="161" spans="1:7" ht="18" customHeight="1">
      <c r="A161" s="127" t="s">
        <v>352</v>
      </c>
      <c r="B161" s="131">
        <v>0</v>
      </c>
      <c r="C161" s="146">
        <v>0</v>
      </c>
      <c r="D161" s="131">
        <v>1</v>
      </c>
      <c r="E161" s="146">
        <v>5.7</v>
      </c>
      <c r="F161" s="134">
        <f>B161+D161</f>
        <v>1</v>
      </c>
      <c r="G161" s="122"/>
    </row>
    <row r="162" spans="1:7" ht="18" customHeight="1">
      <c r="A162" s="127" t="s">
        <v>349</v>
      </c>
      <c r="B162" s="131">
        <v>2</v>
      </c>
      <c r="C162" s="146">
        <v>8.5</v>
      </c>
      <c r="D162" s="131">
        <v>0</v>
      </c>
      <c r="E162" s="146">
        <v>0</v>
      </c>
      <c r="F162" s="134">
        <f>B162+D162</f>
        <v>2</v>
      </c>
      <c r="G162" s="122"/>
    </row>
    <row r="163" spans="1:7" ht="28.5" customHeight="1">
      <c r="A163" s="30" t="s">
        <v>184</v>
      </c>
      <c r="B163" s="172">
        <f>SUM(B159:B162)</f>
        <v>2</v>
      </c>
      <c r="C163" s="221">
        <f>SUM(C159:C162)</f>
        <v>8.5</v>
      </c>
      <c r="D163" s="172">
        <f>SUM(D159:D162)</f>
        <v>4</v>
      </c>
      <c r="E163" s="221">
        <f>SUM(E159:E162)/3</f>
        <v>5.566666666666666</v>
      </c>
      <c r="F163" s="173">
        <f>B163+D163</f>
        <v>6</v>
      </c>
      <c r="G163" s="122"/>
    </row>
  </sheetData>
  <mergeCells count="52">
    <mergeCell ref="B156:F156"/>
    <mergeCell ref="A157:A158"/>
    <mergeCell ref="B157:C157"/>
    <mergeCell ref="D157:E157"/>
    <mergeCell ref="F157:F158"/>
    <mergeCell ref="B139:F139"/>
    <mergeCell ref="A140:A141"/>
    <mergeCell ref="B140:C140"/>
    <mergeCell ref="D140:E140"/>
    <mergeCell ref="F140:F141"/>
    <mergeCell ref="B126:F126"/>
    <mergeCell ref="A127:A128"/>
    <mergeCell ref="B127:C127"/>
    <mergeCell ref="D127:E127"/>
    <mergeCell ref="F127:F128"/>
    <mergeCell ref="B116:F116"/>
    <mergeCell ref="A117:A118"/>
    <mergeCell ref="B117:C117"/>
    <mergeCell ref="D117:E117"/>
    <mergeCell ref="F117:F118"/>
    <mergeCell ref="B96:F96"/>
    <mergeCell ref="A97:A98"/>
    <mergeCell ref="B97:C97"/>
    <mergeCell ref="D97:E97"/>
    <mergeCell ref="F97:F98"/>
    <mergeCell ref="B47:C47"/>
    <mergeCell ref="D47:E47"/>
    <mergeCell ref="B1:G1"/>
    <mergeCell ref="F47:F48"/>
    <mergeCell ref="G2:G3"/>
    <mergeCell ref="B46:F46"/>
    <mergeCell ref="F2:F3"/>
    <mergeCell ref="A82:A83"/>
    <mergeCell ref="B82:C82"/>
    <mergeCell ref="D82:E82"/>
    <mergeCell ref="F82:F83"/>
    <mergeCell ref="B81:F81"/>
    <mergeCell ref="B69:F69"/>
    <mergeCell ref="A70:A71"/>
    <mergeCell ref="B70:C70"/>
    <mergeCell ref="D70:E70"/>
    <mergeCell ref="F70:F71"/>
    <mergeCell ref="A57:A58"/>
    <mergeCell ref="A2:A3"/>
    <mergeCell ref="B2:C2"/>
    <mergeCell ref="D2:E2"/>
    <mergeCell ref="A43:G43"/>
    <mergeCell ref="B56:F56"/>
    <mergeCell ref="B57:C57"/>
    <mergeCell ref="D57:E57"/>
    <mergeCell ref="F57:F58"/>
    <mergeCell ref="A47:A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4" manualBreakCount="4">
    <brk id="68" max="255" man="1"/>
    <brk id="95" max="255" man="1"/>
    <brk id="125" max="255" man="1"/>
    <brk id="1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2007-11-14T15:32:57Z</cp:lastPrinted>
  <dcterms:created xsi:type="dcterms:W3CDTF">2006-03-13T15:19:09Z</dcterms:created>
  <dcterms:modified xsi:type="dcterms:W3CDTF">2013-07-23T08:25:11Z</dcterms:modified>
  <cp:category/>
  <cp:version/>
  <cp:contentType/>
  <cp:contentStatus/>
</cp:coreProperties>
</file>